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https://365nor-my.sharepoint.com/personal/finn_avdem_nortura_no/Documents/Documents/Foring/"/>
    </mc:Choice>
  </mc:AlternateContent>
  <xr:revisionPtr revIDLastSave="157" documentId="8_{6DCC6F69-0E3D-4916-AD46-669AA2C27FE0}" xr6:coauthVersionLast="47" xr6:coauthVersionMax="47" xr10:uidLastSave="{AE1CA128-DB04-478D-84C6-4AC0DAD500E7}"/>
  <bookViews>
    <workbookView xWindow="-120" yWindow="-120" windowWidth="29040" windowHeight="17640" tabRatio="678" activeTab="2" xr2:uid="{00000000-000D-0000-FFFF-FFFF00000000}"/>
  </bookViews>
  <sheets>
    <sheet name="Forside" sheetId="7" r:id="rId1"/>
    <sheet name="Brukarrettleiing" sheetId="6" r:id="rId2"/>
    <sheet name="Planopplysninger" sheetId="1" r:id="rId3"/>
    <sheet name="TINE analyse " sheetId="10" r:id="rId4"/>
    <sheet name="Aktuelle fôrslag" sheetId="3" r:id="rId5"/>
    <sheet name="Planlegging" sheetId="2" r:id="rId6"/>
    <sheet name="Rapport" sheetId="4" r:id="rId7"/>
    <sheet name="Mineraldekning" sheetId="8" r:id="rId8"/>
    <sheet name="Holdendringskalkulatoren" sheetId="5" r:id="rId9"/>
    <sheet name="Korleis velje rett grovfôrslag" sheetId="9" r:id="rId10"/>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7" i="3" l="1"/>
  <c r="K7" i="3"/>
  <c r="L7" i="3"/>
  <c r="M7" i="3"/>
  <c r="N7" i="3"/>
  <c r="O7" i="3"/>
  <c r="L6" i="3"/>
  <c r="L5" i="3"/>
  <c r="L4" i="3"/>
  <c r="L3" i="3"/>
  <c r="K6" i="3"/>
  <c r="K5" i="3"/>
  <c r="K4" i="3"/>
  <c r="K3" i="3"/>
  <c r="J6" i="3"/>
  <c r="J5" i="3"/>
  <c r="J4" i="3"/>
  <c r="J3" i="3"/>
  <c r="Y7" i="10"/>
  <c r="V7" i="10"/>
  <c r="U7" i="10"/>
  <c r="R7" i="10"/>
  <c r="P7" i="10"/>
  <c r="Q7" i="10" s="1"/>
  <c r="L7" i="10"/>
  <c r="N7" i="10" s="1"/>
  <c r="Y6" i="10"/>
  <c r="O6" i="3" s="1"/>
  <c r="V6" i="10"/>
  <c r="U6" i="10"/>
  <c r="W6" i="10" s="1"/>
  <c r="R6" i="10"/>
  <c r="P6" i="10"/>
  <c r="Q6" i="10" s="1"/>
  <c r="S6" i="10" s="1"/>
  <c r="T6" i="10" s="1"/>
  <c r="L6" i="10"/>
  <c r="N6" i="10" s="1"/>
  <c r="H7" i="10"/>
  <c r="H6" i="10"/>
  <c r="M6" i="10" s="1"/>
  <c r="E7" i="10"/>
  <c r="E6" i="10"/>
  <c r="A7" i="10"/>
  <c r="A6" i="10"/>
  <c r="A5" i="10"/>
  <c r="A4" i="10"/>
  <c r="A3" i="10"/>
  <c r="Y5" i="10"/>
  <c r="O5" i="3" s="1"/>
  <c r="V5" i="10"/>
  <c r="U5" i="10"/>
  <c r="R5" i="10"/>
  <c r="P5" i="10"/>
  <c r="Q5" i="10" s="1"/>
  <c r="L5" i="10"/>
  <c r="N5" i="10" s="1"/>
  <c r="H5" i="10"/>
  <c r="E5" i="10"/>
  <c r="Y4" i="10"/>
  <c r="O4" i="3" s="1"/>
  <c r="V4" i="10"/>
  <c r="U4" i="10"/>
  <c r="R4" i="10"/>
  <c r="P4" i="10"/>
  <c r="Q4" i="10" s="1"/>
  <c r="L4" i="10"/>
  <c r="N4" i="10" s="1"/>
  <c r="H4" i="10"/>
  <c r="E4" i="10"/>
  <c r="Y3" i="10"/>
  <c r="O3" i="3" s="1"/>
  <c r="V3" i="10"/>
  <c r="U3" i="10"/>
  <c r="R3" i="10"/>
  <c r="P3" i="10"/>
  <c r="Q3" i="10" s="1"/>
  <c r="L3" i="10"/>
  <c r="N3" i="10" s="1"/>
  <c r="H3" i="10"/>
  <c r="E3" i="10"/>
  <c r="W3" i="10" l="1"/>
  <c r="W4" i="10"/>
  <c r="W5" i="10"/>
  <c r="X6" i="10"/>
  <c r="N6" i="3" s="1"/>
  <c r="M7" i="10"/>
  <c r="W7" i="10"/>
  <c r="O6" i="10"/>
  <c r="M6" i="3" s="1"/>
  <c r="O7" i="10"/>
  <c r="S7" i="10"/>
  <c r="T7" i="10" s="1"/>
  <c r="M5" i="10"/>
  <c r="O5" i="10" s="1"/>
  <c r="M5" i="3" s="1"/>
  <c r="M3" i="10"/>
  <c r="O3" i="10" s="1"/>
  <c r="M3" i="3" s="1"/>
  <c r="M4" i="10"/>
  <c r="O4" i="10" s="1"/>
  <c r="M4" i="3" s="1"/>
  <c r="S3" i="10"/>
  <c r="T3" i="10" s="1"/>
  <c r="S4" i="10"/>
  <c r="T4" i="10" s="1"/>
  <c r="X4" i="10" s="1"/>
  <c r="N4" i="3" s="1"/>
  <c r="S5" i="10"/>
  <c r="T5" i="10" s="1"/>
  <c r="X5" i="10" s="1"/>
  <c r="N5" i="3" s="1"/>
  <c r="C127" i="2"/>
  <c r="D97" i="2"/>
  <c r="C97" i="2"/>
  <c r="D52" i="2"/>
  <c r="C52" i="2"/>
  <c r="D11" i="2"/>
  <c r="C11" i="2"/>
  <c r="E47" i="3"/>
  <c r="D47" i="3"/>
  <c r="D127" i="2"/>
  <c r="X3" i="10" l="1"/>
  <c r="N3" i="3" s="1"/>
  <c r="X7" i="10"/>
  <c r="G36" i="3"/>
  <c r="F36" i="3"/>
  <c r="E36" i="3"/>
  <c r="D36" i="3"/>
  <c r="G35" i="3"/>
  <c r="F35" i="3"/>
  <c r="E35" i="3"/>
  <c r="D35" i="3"/>
  <c r="R6" i="3" l="1"/>
  <c r="E42" i="3" l="1"/>
  <c r="E41" i="3"/>
  <c r="E40" i="3"/>
  <c r="E39" i="3"/>
  <c r="E38" i="3"/>
  <c r="E37" i="3"/>
  <c r="E34" i="3"/>
  <c r="E33" i="3"/>
  <c r="E32" i="3"/>
  <c r="E31" i="3"/>
  <c r="E30" i="3"/>
  <c r="E29" i="3"/>
  <c r="E28" i="3"/>
  <c r="E27" i="3"/>
  <c r="E26" i="3"/>
  <c r="F26" i="3"/>
  <c r="F52" i="2" l="1"/>
  <c r="F97" i="2"/>
  <c r="F11" i="2"/>
  <c r="F127" i="2"/>
  <c r="G127" i="2"/>
  <c r="G11" i="2"/>
  <c r="R7" i="3"/>
  <c r="R5" i="3"/>
  <c r="R8" i="3" l="1"/>
  <c r="R4" i="3"/>
  <c r="R3" i="3"/>
  <c r="G38" i="3" l="1"/>
  <c r="F38" i="3"/>
  <c r="D38" i="3"/>
  <c r="C37" i="4" l="1"/>
  <c r="B37" i="4"/>
  <c r="I22" i="4" l="1"/>
  <c r="G54" i="1"/>
  <c r="H51" i="1"/>
  <c r="F51" i="1"/>
  <c r="G47" i="1"/>
  <c r="F45" i="1"/>
  <c r="I123" i="2" l="1"/>
  <c r="I93" i="2"/>
  <c r="I48" i="2"/>
  <c r="I7" i="2"/>
  <c r="D123" i="2" l="1"/>
  <c r="Q73" i="8" l="1"/>
  <c r="P73" i="8"/>
  <c r="O73" i="8"/>
  <c r="N73" i="8"/>
  <c r="M73" i="8"/>
  <c r="L73" i="8"/>
  <c r="K73" i="8"/>
  <c r="J73" i="8"/>
  <c r="I73" i="8"/>
  <c r="H73" i="8"/>
  <c r="G73" i="8"/>
  <c r="F73" i="8"/>
  <c r="Q69" i="8"/>
  <c r="P69" i="8"/>
  <c r="O69" i="8"/>
  <c r="N69" i="8"/>
  <c r="M69" i="8"/>
  <c r="L69" i="8"/>
  <c r="K69" i="8"/>
  <c r="J69" i="8"/>
  <c r="I69" i="8"/>
  <c r="H69" i="8"/>
  <c r="G69" i="8"/>
  <c r="F69" i="8"/>
  <c r="Q74" i="8" l="1"/>
  <c r="P74" i="8"/>
  <c r="O74" i="8"/>
  <c r="N74" i="8"/>
  <c r="M74" i="8"/>
  <c r="L74" i="8"/>
  <c r="K74" i="8"/>
  <c r="J74" i="8"/>
  <c r="I74" i="8"/>
  <c r="H74" i="8"/>
  <c r="G74" i="8"/>
  <c r="F74" i="8"/>
  <c r="E74" i="8"/>
  <c r="D74" i="8"/>
  <c r="C74" i="8"/>
  <c r="Q70" i="8"/>
  <c r="P70" i="8"/>
  <c r="O70" i="8"/>
  <c r="N70" i="8"/>
  <c r="M70" i="8"/>
  <c r="L70" i="8"/>
  <c r="K70" i="8"/>
  <c r="J70" i="8"/>
  <c r="I70" i="8"/>
  <c r="H70" i="8"/>
  <c r="G70" i="8"/>
  <c r="F70" i="8"/>
  <c r="E70" i="8"/>
  <c r="D70" i="8"/>
  <c r="C70" i="8"/>
  <c r="Q66" i="8"/>
  <c r="N66" i="8"/>
  <c r="M66" i="8"/>
  <c r="P66" i="8"/>
  <c r="O66" i="8"/>
  <c r="L66" i="8"/>
  <c r="K66" i="8"/>
  <c r="J66" i="8"/>
  <c r="I66" i="8"/>
  <c r="H66" i="8"/>
  <c r="G66" i="8"/>
  <c r="F66" i="8"/>
  <c r="Q65" i="8"/>
  <c r="P65" i="8"/>
  <c r="O65" i="8"/>
  <c r="N65" i="8"/>
  <c r="M65" i="8"/>
  <c r="L65" i="8"/>
  <c r="K65" i="8"/>
  <c r="J65" i="8" l="1"/>
  <c r="I65" i="8"/>
  <c r="H65" i="8"/>
  <c r="G65" i="8"/>
  <c r="F65" i="8"/>
  <c r="E66" i="8"/>
  <c r="D66" i="8"/>
  <c r="C66" i="8"/>
  <c r="Q49" i="8"/>
  <c r="P49" i="8"/>
  <c r="O49" i="8"/>
  <c r="N49" i="8"/>
  <c r="M49" i="8"/>
  <c r="L49" i="8"/>
  <c r="K49" i="8"/>
  <c r="J49" i="8"/>
  <c r="I49" i="8"/>
  <c r="H49" i="8"/>
  <c r="G49" i="8"/>
  <c r="F49" i="8"/>
  <c r="E49" i="8"/>
  <c r="D49" i="8"/>
  <c r="C49" i="8"/>
  <c r="Q45" i="8"/>
  <c r="P45" i="8"/>
  <c r="O45" i="8"/>
  <c r="N45" i="8"/>
  <c r="M45" i="8"/>
  <c r="L45" i="8"/>
  <c r="K45" i="8"/>
  <c r="J45" i="8"/>
  <c r="I45" i="8"/>
  <c r="H45" i="8"/>
  <c r="G45" i="8"/>
  <c r="F45" i="8"/>
  <c r="E45" i="8"/>
  <c r="D45" i="8"/>
  <c r="C45" i="8"/>
  <c r="Q41" i="8"/>
  <c r="P41" i="8"/>
  <c r="O41" i="8"/>
  <c r="N41" i="8"/>
  <c r="M41" i="8"/>
  <c r="L41" i="8"/>
  <c r="K41" i="8"/>
  <c r="J41" i="8"/>
  <c r="I41" i="8"/>
  <c r="H41" i="8"/>
  <c r="G41" i="8" l="1"/>
  <c r="F41" i="8"/>
  <c r="E41" i="8"/>
  <c r="D41" i="8"/>
  <c r="C41" i="8"/>
  <c r="Q24" i="8"/>
  <c r="P24" i="8"/>
  <c r="O24" i="8"/>
  <c r="N24" i="8"/>
  <c r="M24" i="8"/>
  <c r="L24" i="8"/>
  <c r="K24" i="8"/>
  <c r="J24" i="8"/>
  <c r="I24" i="8"/>
  <c r="H24" i="8"/>
  <c r="G24" i="8"/>
  <c r="F24" i="8"/>
  <c r="E24" i="8"/>
  <c r="D24" i="8"/>
  <c r="C24" i="8"/>
  <c r="Q20" i="8"/>
  <c r="P20" i="8"/>
  <c r="O20" i="8"/>
  <c r="N20" i="8"/>
  <c r="M20" i="8"/>
  <c r="L20" i="8"/>
  <c r="K20" i="8"/>
  <c r="J20" i="8"/>
  <c r="I20" i="8"/>
  <c r="H20" i="8"/>
  <c r="G20" i="8"/>
  <c r="F20" i="8"/>
  <c r="E20" i="8"/>
  <c r="D20" i="8"/>
  <c r="C20" i="8"/>
  <c r="Q16" i="8"/>
  <c r="P16" i="8"/>
  <c r="O16" i="8"/>
  <c r="N16" i="8"/>
  <c r="M16" i="8"/>
  <c r="L16" i="8"/>
  <c r="K16" i="8"/>
  <c r="J16" i="8"/>
  <c r="I16" i="8"/>
  <c r="H16" i="8"/>
  <c r="G16" i="8"/>
  <c r="F16" i="8"/>
  <c r="D16" i="8"/>
  <c r="E16" i="8"/>
  <c r="C16" i="8"/>
  <c r="B10" i="8" l="1"/>
  <c r="D15" i="8"/>
  <c r="C23" i="8"/>
  <c r="D23" i="8"/>
  <c r="E23" i="8"/>
  <c r="F23" i="8"/>
  <c r="G23" i="8"/>
  <c r="H23" i="8"/>
  <c r="I23" i="8"/>
  <c r="J23" i="8"/>
  <c r="K23" i="8"/>
  <c r="L23" i="8"/>
  <c r="M23" i="8"/>
  <c r="N23" i="8"/>
  <c r="O23" i="8"/>
  <c r="P23" i="8"/>
  <c r="Q23" i="8"/>
  <c r="Q19" i="8"/>
  <c r="P19" i="8"/>
  <c r="O19" i="8"/>
  <c r="N19" i="8"/>
  <c r="M19" i="8"/>
  <c r="L19" i="8"/>
  <c r="K19" i="8"/>
  <c r="J19" i="8"/>
  <c r="I19" i="8"/>
  <c r="H19" i="8"/>
  <c r="G19" i="8"/>
  <c r="F19" i="8"/>
  <c r="E19" i="8"/>
  <c r="D19" i="8"/>
  <c r="C19" i="8"/>
  <c r="E73" i="8"/>
  <c r="D73" i="8"/>
  <c r="C73" i="8"/>
  <c r="C72" i="8"/>
  <c r="C69" i="8"/>
  <c r="E69" i="8"/>
  <c r="D69" i="8"/>
  <c r="R10" i="8" l="1"/>
  <c r="Q10" i="8"/>
  <c r="P10" i="8"/>
  <c r="O10" i="8"/>
  <c r="N10" i="8"/>
  <c r="M10" i="8"/>
  <c r="J10" i="8"/>
  <c r="L10" i="8"/>
  <c r="K10" i="8"/>
  <c r="I10" i="8"/>
  <c r="H10" i="8"/>
  <c r="F10" i="8"/>
  <c r="E10" i="8"/>
  <c r="D10" i="8"/>
  <c r="G10" i="8"/>
  <c r="C68" i="8"/>
  <c r="E65" i="8" l="1"/>
  <c r="D65" i="8"/>
  <c r="C65" i="8"/>
  <c r="C64" i="8"/>
  <c r="B60" i="8"/>
  <c r="B56" i="8"/>
  <c r="B55" i="8"/>
  <c r="Q48" i="8"/>
  <c r="P48" i="8"/>
  <c r="O48" i="8"/>
  <c r="N48" i="8"/>
  <c r="M48" i="8"/>
  <c r="L48" i="8"/>
  <c r="K48" i="8"/>
  <c r="J48" i="8"/>
  <c r="I48" i="8"/>
  <c r="H48" i="8"/>
  <c r="G48" i="8"/>
  <c r="F48" i="8"/>
  <c r="E48" i="8"/>
  <c r="D48" i="8"/>
  <c r="C48" i="8"/>
  <c r="C47" i="8"/>
  <c r="Q44" i="8"/>
  <c r="P44" i="8"/>
  <c r="O44" i="8"/>
  <c r="N44" i="8"/>
  <c r="M44" i="8"/>
  <c r="L44" i="8"/>
  <c r="K44" i="8"/>
  <c r="J44" i="8"/>
  <c r="I44" i="8"/>
  <c r="H44" i="8"/>
  <c r="G44" i="8"/>
  <c r="F44" i="8"/>
  <c r="E44" i="8"/>
  <c r="D44" i="8"/>
  <c r="C44" i="8"/>
  <c r="C43" i="8"/>
  <c r="R60" i="8" l="1"/>
  <c r="M60" i="8"/>
  <c r="K60" i="8"/>
  <c r="J60" i="8"/>
  <c r="H60" i="8"/>
  <c r="E60" i="8"/>
  <c r="Q60" i="8"/>
  <c r="N60" i="8"/>
  <c r="L60" i="8"/>
  <c r="I60" i="8"/>
  <c r="F60" i="8"/>
  <c r="D60" i="8"/>
  <c r="P60" i="8"/>
  <c r="G60" i="8"/>
  <c r="O60" i="8"/>
  <c r="Q40" i="8"/>
  <c r="P40" i="8"/>
  <c r="O40" i="8"/>
  <c r="N40" i="8"/>
  <c r="B35" i="8"/>
  <c r="B31" i="8"/>
  <c r="B30" i="8"/>
  <c r="B5" i="8"/>
  <c r="B6" i="8"/>
  <c r="M40" i="8"/>
  <c r="L40" i="8"/>
  <c r="K40" i="8"/>
  <c r="J40" i="8"/>
  <c r="I40" i="8"/>
  <c r="H40" i="8"/>
  <c r="H15" i="8"/>
  <c r="G40" i="8"/>
  <c r="F40" i="8"/>
  <c r="E40" i="8"/>
  <c r="N35" i="8" l="1"/>
  <c r="K35" i="8"/>
  <c r="R35" i="8"/>
  <c r="M35" i="8"/>
  <c r="L35" i="8"/>
  <c r="J35" i="8"/>
  <c r="I35" i="8"/>
  <c r="Q35" i="8"/>
  <c r="P35" i="8"/>
  <c r="O35" i="8"/>
  <c r="G35" i="8"/>
  <c r="F35" i="8"/>
  <c r="E35" i="8"/>
  <c r="D35" i="8"/>
  <c r="H35" i="8"/>
  <c r="D40" i="8"/>
  <c r="C40" i="8"/>
  <c r="C39" i="8"/>
  <c r="C22" i="8"/>
  <c r="Q15" i="8" l="1"/>
  <c r="P15" i="8"/>
  <c r="O15" i="8"/>
  <c r="N15" i="8"/>
  <c r="M15" i="8"/>
  <c r="L15" i="8"/>
  <c r="K15" i="8"/>
  <c r="J15" i="8"/>
  <c r="I15" i="8"/>
  <c r="G15" i="8"/>
  <c r="F15" i="8"/>
  <c r="E15" i="8"/>
  <c r="C15" i="8" l="1"/>
  <c r="A54" i="3"/>
  <c r="A55" i="3" s="1"/>
  <c r="A56" i="3" s="1"/>
  <c r="A57" i="3" s="1"/>
  <c r="A58" i="3" s="1"/>
  <c r="A59" i="3" s="1"/>
  <c r="A60" i="3" s="1"/>
  <c r="A61" i="3" s="1"/>
  <c r="A62" i="3" s="1"/>
  <c r="A63" i="3" s="1"/>
  <c r="I6" i="2" l="1"/>
  <c r="C60" i="8" l="1"/>
  <c r="C10" i="8"/>
  <c r="C35" i="8" l="1"/>
  <c r="D83" i="2"/>
  <c r="E45" i="3"/>
  <c r="G42" i="3"/>
  <c r="F42" i="3"/>
  <c r="D42" i="3"/>
  <c r="G41" i="3"/>
  <c r="F41" i="3"/>
  <c r="D41" i="3"/>
  <c r="G40" i="3"/>
  <c r="F40" i="3"/>
  <c r="D40" i="3"/>
  <c r="G39" i="3"/>
  <c r="F39" i="3"/>
  <c r="D39" i="3"/>
  <c r="G37" i="3"/>
  <c r="F37" i="3"/>
  <c r="D37" i="3"/>
  <c r="G34" i="3"/>
  <c r="F34" i="3"/>
  <c r="D34" i="3"/>
  <c r="G33" i="3"/>
  <c r="F33" i="3"/>
  <c r="G32" i="3"/>
  <c r="F32" i="3"/>
  <c r="D32" i="3"/>
  <c r="G31" i="3"/>
  <c r="F31" i="3"/>
  <c r="D31" i="3"/>
  <c r="G30" i="3"/>
  <c r="F30" i="3"/>
  <c r="D30" i="3"/>
  <c r="G29" i="3"/>
  <c r="F29" i="3"/>
  <c r="D29" i="3"/>
  <c r="G28" i="3"/>
  <c r="F28" i="3"/>
  <c r="D28" i="3"/>
  <c r="G27" i="3"/>
  <c r="F27" i="3"/>
  <c r="D27" i="3"/>
  <c r="G26" i="3"/>
  <c r="D26" i="3"/>
  <c r="E97" i="2" l="1"/>
  <c r="E52" i="2"/>
  <c r="G52" i="2"/>
  <c r="G97" i="2"/>
  <c r="H52" i="2"/>
  <c r="H97" i="2"/>
  <c r="E127" i="2"/>
  <c r="E11" i="2"/>
  <c r="H11" i="2"/>
  <c r="H127" i="2"/>
  <c r="H53" i="1"/>
  <c r="H52" i="1"/>
  <c r="E28" i="1" l="1"/>
  <c r="F28" i="1" s="1"/>
  <c r="I4" i="4" l="1"/>
  <c r="J4" i="4"/>
  <c r="I3" i="4"/>
  <c r="I2" i="4"/>
  <c r="B5" i="5"/>
  <c r="A5" i="5"/>
  <c r="A4" i="5"/>
  <c r="A3" i="5"/>
  <c r="B2" i="5"/>
  <c r="A2" i="5"/>
  <c r="A1" i="5"/>
  <c r="B1" i="5"/>
  <c r="C9" i="5"/>
  <c r="H123" i="2"/>
  <c r="G123" i="2"/>
  <c r="F123" i="2"/>
  <c r="C123" i="2"/>
  <c r="E123" i="2"/>
  <c r="I122" i="2"/>
  <c r="H122" i="2"/>
  <c r="G122" i="2"/>
  <c r="F122" i="2"/>
  <c r="D122" i="2"/>
  <c r="E122" i="2"/>
  <c r="C122" i="2"/>
  <c r="H93" i="2"/>
  <c r="G93" i="2"/>
  <c r="F93" i="2"/>
  <c r="E93" i="2"/>
  <c r="C93" i="2"/>
  <c r="C56" i="8" s="1"/>
  <c r="D93" i="2"/>
  <c r="I92" i="2"/>
  <c r="H92" i="2"/>
  <c r="G92" i="2"/>
  <c r="F92" i="2"/>
  <c r="E92" i="2"/>
  <c r="D92" i="2"/>
  <c r="C92" i="2"/>
  <c r="C55" i="8" s="1"/>
  <c r="I47" i="2"/>
  <c r="H48" i="2"/>
  <c r="G48" i="2"/>
  <c r="F48" i="2"/>
  <c r="E48" i="2"/>
  <c r="D48" i="2"/>
  <c r="C48" i="2"/>
  <c r="C31" i="8" s="1"/>
  <c r="C7" i="2"/>
  <c r="C6" i="8" s="1"/>
  <c r="H47" i="2"/>
  <c r="G47" i="2"/>
  <c r="F47" i="2"/>
  <c r="K47" i="2" s="1"/>
  <c r="E47" i="2"/>
  <c r="D47" i="2"/>
  <c r="C47" i="2"/>
  <c r="C30" i="8" s="1"/>
  <c r="H7" i="2"/>
  <c r="G7" i="2"/>
  <c r="F7" i="2"/>
  <c r="E7" i="2"/>
  <c r="D7" i="2"/>
  <c r="H6" i="2"/>
  <c r="G6" i="2"/>
  <c r="F6" i="2"/>
  <c r="E6" i="2"/>
  <c r="C6" i="2"/>
  <c r="C5" i="8" s="1"/>
  <c r="D6" i="2"/>
  <c r="D57" i="2" l="1"/>
  <c r="K57" i="2" s="1"/>
  <c r="J57" i="2"/>
  <c r="C2" i="5"/>
  <c r="C39" i="4"/>
  <c r="C38" i="4"/>
  <c r="B40" i="4"/>
  <c r="B39" i="4"/>
  <c r="B38" i="4"/>
  <c r="E35" i="4" l="1"/>
  <c r="F54" i="1"/>
  <c r="F53" i="1"/>
  <c r="F52" i="1"/>
  <c r="I23" i="4"/>
  <c r="I18" i="4"/>
  <c r="H17" i="4"/>
  <c r="C71" i="2"/>
  <c r="I24" i="4"/>
  <c r="F47" i="1"/>
  <c r="F46" i="1"/>
  <c r="G27" i="1"/>
  <c r="D26" i="1"/>
  <c r="C21" i="4" s="1"/>
  <c r="E27" i="1"/>
  <c r="F27" i="1" s="1"/>
  <c r="B3" i="4"/>
  <c r="C40" i="4" l="1"/>
  <c r="H54" i="1"/>
  <c r="H55" i="1" s="1"/>
  <c r="F35" i="4"/>
  <c r="E29" i="1"/>
  <c r="F29" i="1"/>
  <c r="K36" i="4" l="1"/>
  <c r="J33" i="4"/>
  <c r="L33" i="4"/>
  <c r="I55" i="4" s="1"/>
  <c r="K33" i="4"/>
  <c r="H55" i="4" s="1"/>
  <c r="H33" i="4"/>
  <c r="H54" i="4" s="1"/>
  <c r="L36" i="4" l="1"/>
  <c r="B33" i="4"/>
  <c r="B32" i="4"/>
  <c r="H48" i="4" s="1"/>
  <c r="J20" i="4"/>
  <c r="I12" i="4"/>
  <c r="I11" i="4"/>
  <c r="H13" i="4"/>
  <c r="H12" i="4"/>
  <c r="H11" i="4"/>
  <c r="J9" i="4"/>
  <c r="H7" i="4"/>
  <c r="H6" i="4"/>
  <c r="B54" i="4" s="1"/>
  <c r="E45" i="4"/>
  <c r="E23" i="4"/>
  <c r="B20" i="4"/>
  <c r="E17" i="4"/>
  <c r="K42" i="4" l="1"/>
  <c r="L42" i="4" s="1"/>
  <c r="K20" i="4"/>
  <c r="F23" i="4"/>
  <c r="E11" i="4"/>
  <c r="C9" i="4"/>
  <c r="B7" i="4"/>
  <c r="B49" i="4" s="1"/>
  <c r="C5" i="4"/>
  <c r="C4" i="4"/>
  <c r="C3" i="4"/>
  <c r="H41" i="4"/>
  <c r="J57" i="4" l="1"/>
  <c r="L57" i="4"/>
  <c r="F11" i="4"/>
  <c r="C62" i="1"/>
  <c r="F60" i="1"/>
  <c r="D131" i="2"/>
  <c r="K122" i="2"/>
  <c r="C130" i="2"/>
  <c r="H35" i="4" s="1"/>
  <c r="H56" i="4" s="1"/>
  <c r="C120" i="2"/>
  <c r="C119" i="2"/>
  <c r="C61" i="1"/>
  <c r="D60" i="1" s="1"/>
  <c r="E60" i="1" s="1"/>
  <c r="K57" i="4" l="1"/>
  <c r="C138" i="2"/>
  <c r="H37" i="4" s="1"/>
  <c r="H43" i="4"/>
  <c r="H58" i="4" s="1"/>
  <c r="C131" i="2"/>
  <c r="H36" i="4" s="1"/>
  <c r="H57" i="4" s="1"/>
  <c r="H42" i="4"/>
  <c r="D130" i="2"/>
  <c r="F130" i="2" s="1"/>
  <c r="F131" i="2"/>
  <c r="G131" i="2"/>
  <c r="H131" i="2"/>
  <c r="I131" i="2"/>
  <c r="D119" i="2"/>
  <c r="K92" i="2"/>
  <c r="D102" i="2"/>
  <c r="G102" i="2" s="1"/>
  <c r="C90" i="2"/>
  <c r="E32" i="4" s="1"/>
  <c r="I49" i="4" s="1"/>
  <c r="C112" i="2" l="1"/>
  <c r="B36" i="4" s="1"/>
  <c r="B46" i="4"/>
  <c r="H52" i="4" s="1"/>
  <c r="C102" i="2"/>
  <c r="B45" i="4" s="1"/>
  <c r="H51" i="4" s="1"/>
  <c r="B35" i="4"/>
  <c r="C101" i="2"/>
  <c r="B44" i="4" s="1"/>
  <c r="B34" i="4"/>
  <c r="H50" i="4" s="1"/>
  <c r="G130" i="2"/>
  <c r="G132" i="2" s="1"/>
  <c r="E130" i="2"/>
  <c r="K35" i="4" s="1"/>
  <c r="D132" i="2"/>
  <c r="I130" i="2"/>
  <c r="I132" i="2" s="1"/>
  <c r="F132" i="2"/>
  <c r="D135" i="2" s="1"/>
  <c r="H130" i="2"/>
  <c r="H132" i="2" s="1"/>
  <c r="D101" i="2"/>
  <c r="I102" i="2"/>
  <c r="F102" i="2"/>
  <c r="H102" i="2"/>
  <c r="D23" i="1"/>
  <c r="D9" i="5" s="1"/>
  <c r="E9" i="5" s="1"/>
  <c r="F9" i="5" s="1"/>
  <c r="H30" i="4"/>
  <c r="B12" i="4"/>
  <c r="J56" i="2"/>
  <c r="J58" i="2" s="1"/>
  <c r="M59" i="2" s="1"/>
  <c r="M60" i="2" s="1"/>
  <c r="D22" i="1"/>
  <c r="C2" i="2"/>
  <c r="D7" i="4" s="1"/>
  <c r="B50" i="4" s="1"/>
  <c r="C11" i="1"/>
  <c r="B4" i="5" s="1"/>
  <c r="D9" i="1"/>
  <c r="P59" i="2" l="1"/>
  <c r="P60" i="2" s="1"/>
  <c r="O59" i="2"/>
  <c r="O60" i="2" s="1"/>
  <c r="N59" i="2"/>
  <c r="N60" i="2" s="1"/>
  <c r="F135" i="2"/>
  <c r="E135" i="2"/>
  <c r="C5" i="5"/>
  <c r="B30" i="4"/>
  <c r="B53" i="4"/>
  <c r="E132" i="2"/>
  <c r="D12" i="1"/>
  <c r="C89" i="2"/>
  <c r="C15" i="4"/>
  <c r="F17" i="4" s="1"/>
  <c r="E29" i="4" s="1"/>
  <c r="G35" i="1"/>
  <c r="C43" i="2"/>
  <c r="K6" i="4" s="1"/>
  <c r="C55" i="4" s="1"/>
  <c r="D85" i="2"/>
  <c r="H21" i="4"/>
  <c r="B58" i="4" s="1"/>
  <c r="D84" i="2"/>
  <c r="C73" i="2"/>
  <c r="H20" i="4"/>
  <c r="C72" i="2"/>
  <c r="H19" i="4"/>
  <c r="I57" i="2"/>
  <c r="D73" i="2"/>
  <c r="C56" i="2"/>
  <c r="H8" i="4"/>
  <c r="C66" i="2"/>
  <c r="H10" i="4"/>
  <c r="H14" i="4"/>
  <c r="C57" i="2"/>
  <c r="H9" i="4"/>
  <c r="E101" i="2"/>
  <c r="E34" i="4" s="1"/>
  <c r="F34" i="4" s="1"/>
  <c r="I101" i="2"/>
  <c r="I103" i="2" s="1"/>
  <c r="G101" i="2"/>
  <c r="G103" i="2" s="1"/>
  <c r="D103" i="2"/>
  <c r="H101" i="2"/>
  <c r="H103" i="2" s="1"/>
  <c r="F101" i="2"/>
  <c r="F103" i="2" s="1"/>
  <c r="C10" i="1"/>
  <c r="A27" i="3"/>
  <c r="A28" i="3" s="1"/>
  <c r="A29" i="3" s="1"/>
  <c r="A30" i="3" s="1"/>
  <c r="A31" i="3" s="1"/>
  <c r="A32" i="3" s="1"/>
  <c r="A33" i="3" s="1"/>
  <c r="A34" i="3" s="1"/>
  <c r="A35" i="3" s="1"/>
  <c r="A36" i="3" s="1"/>
  <c r="A37" i="3" s="1"/>
  <c r="B10" i="4"/>
  <c r="B11" i="4"/>
  <c r="Q59" i="2" l="1"/>
  <c r="D56" i="2" s="1"/>
  <c r="A38" i="3"/>
  <c r="A39" i="3" s="1"/>
  <c r="A40" i="3" s="1"/>
  <c r="A41" i="3" s="1"/>
  <c r="A42" i="3" s="1"/>
  <c r="A43" i="3" s="1"/>
  <c r="A44" i="3" s="1"/>
  <c r="A45" i="3" s="1"/>
  <c r="A46" i="3" s="1"/>
  <c r="A47" i="3" s="1"/>
  <c r="A48" i="3" s="1"/>
  <c r="C42" i="2"/>
  <c r="D66" i="2" s="1"/>
  <c r="J14" i="4" s="1"/>
  <c r="B3" i="5"/>
  <c r="D11" i="1"/>
  <c r="H28" i="4"/>
  <c r="B56" i="4"/>
  <c r="H29" i="4"/>
  <c r="B57" i="4"/>
  <c r="B29" i="4"/>
  <c r="B52" i="4"/>
  <c r="B28" i="4"/>
  <c r="B51" i="4"/>
  <c r="L35" i="4"/>
  <c r="K41" i="4"/>
  <c r="L41" i="4" s="1"/>
  <c r="I13" i="4"/>
  <c r="K9" i="4"/>
  <c r="K29" i="4" s="1"/>
  <c r="F57" i="2"/>
  <c r="G57" i="2"/>
  <c r="D32" i="4"/>
  <c r="H49" i="4" s="1"/>
  <c r="D89" i="2"/>
  <c r="H57" i="2"/>
  <c r="E103" i="2"/>
  <c r="E44" i="4"/>
  <c r="I73" i="2"/>
  <c r="H73" i="2"/>
  <c r="G73" i="2"/>
  <c r="F73" i="2"/>
  <c r="D24" i="2"/>
  <c r="I24" i="2" s="1"/>
  <c r="D33" i="2"/>
  <c r="C20" i="2"/>
  <c r="C38" i="2"/>
  <c r="B24" i="4" s="1"/>
  <c r="C29" i="2"/>
  <c r="B18" i="4" s="1"/>
  <c r="C23" i="2"/>
  <c r="B16" i="4" s="1"/>
  <c r="C32" i="2"/>
  <c r="B22" i="4" s="1"/>
  <c r="C24" i="2"/>
  <c r="B17" i="4" s="1"/>
  <c r="C33" i="2"/>
  <c r="B23" i="4" s="1"/>
  <c r="D10" i="1"/>
  <c r="D13" i="1" s="1"/>
  <c r="C3" i="2"/>
  <c r="D15" i="2"/>
  <c r="K6" i="2"/>
  <c r="C15" i="2"/>
  <c r="C22" i="2"/>
  <c r="B14" i="4" l="1"/>
  <c r="C18" i="8"/>
  <c r="E56" i="2"/>
  <c r="J8" i="4" s="1"/>
  <c r="K8" i="4" s="1"/>
  <c r="J10" i="4"/>
  <c r="D42" i="2"/>
  <c r="E66" i="2"/>
  <c r="K14" i="4" s="1"/>
  <c r="J6" i="4"/>
  <c r="B55" i="4" s="1"/>
  <c r="C3" i="5"/>
  <c r="E11" i="5" s="1"/>
  <c r="F11" i="5" s="1"/>
  <c r="C4" i="5"/>
  <c r="J56" i="4"/>
  <c r="K56" i="4" s="1"/>
  <c r="L56" i="4"/>
  <c r="D14" i="2"/>
  <c r="E14" i="2" s="1"/>
  <c r="F44" i="4"/>
  <c r="L50" i="4" s="1"/>
  <c r="D23" i="2"/>
  <c r="F45" i="4"/>
  <c r="L51" i="4" s="1"/>
  <c r="D32" i="2"/>
  <c r="I56" i="2"/>
  <c r="I58" i="2" s="1"/>
  <c r="D58" i="2"/>
  <c r="G56" i="2"/>
  <c r="G58" i="2" s="1"/>
  <c r="F56" i="2"/>
  <c r="F58" i="2" s="1"/>
  <c r="H56" i="2"/>
  <c r="H58" i="2" s="1"/>
  <c r="D2" i="2"/>
  <c r="E7" i="4"/>
  <c r="H24" i="2"/>
  <c r="F24" i="2"/>
  <c r="G24" i="2"/>
  <c r="I33" i="2"/>
  <c r="F33" i="2"/>
  <c r="G33" i="2"/>
  <c r="H33" i="2"/>
  <c r="F15" i="2"/>
  <c r="I15" i="2"/>
  <c r="H15" i="2"/>
  <c r="G15" i="2"/>
  <c r="C14" i="2"/>
  <c r="C13" i="2"/>
  <c r="E23" i="1"/>
  <c r="D138" i="2"/>
  <c r="K37" i="4" s="1"/>
  <c r="L37" i="4" s="1"/>
  <c r="L43" i="4" s="1"/>
  <c r="L29" i="4" l="1"/>
  <c r="F57" i="4" s="1"/>
  <c r="B8" i="4"/>
  <c r="C14" i="8"/>
  <c r="E58" i="2"/>
  <c r="D25" i="2"/>
  <c r="F18" i="8"/>
  <c r="F21" i="8" s="1"/>
  <c r="I32" i="2"/>
  <c r="I34" i="2" s="1"/>
  <c r="D16" i="2"/>
  <c r="F66" i="2"/>
  <c r="G66" i="2" s="1"/>
  <c r="K10" i="4"/>
  <c r="K58" i="4"/>
  <c r="J58" i="4"/>
  <c r="J51" i="4"/>
  <c r="K51" i="4" s="1"/>
  <c r="J50" i="4"/>
  <c r="K50" i="4" s="1"/>
  <c r="F29" i="4"/>
  <c r="C50" i="4"/>
  <c r="D57" i="4"/>
  <c r="E57" i="4" s="1"/>
  <c r="C44" i="1"/>
  <c r="E138" i="2"/>
  <c r="F32" i="2"/>
  <c r="F34" i="2" s="1"/>
  <c r="F37" i="2" s="1"/>
  <c r="H32" i="2"/>
  <c r="H34" i="2" s="1"/>
  <c r="G32" i="2"/>
  <c r="G34" i="2" s="1"/>
  <c r="E32" i="2"/>
  <c r="E22" i="4" s="1"/>
  <c r="D34" i="2"/>
  <c r="F23" i="1"/>
  <c r="I14" i="2"/>
  <c r="I16" i="2" s="1"/>
  <c r="F14" i="2"/>
  <c r="H14" i="2"/>
  <c r="G14" i="2"/>
  <c r="E10" i="4"/>
  <c r="F23" i="2"/>
  <c r="F25" i="2" s="1"/>
  <c r="F28" i="2" s="1"/>
  <c r="I23" i="2"/>
  <c r="I25" i="2" s="1"/>
  <c r="H23" i="2"/>
  <c r="H25" i="2" s="1"/>
  <c r="E23" i="2"/>
  <c r="E16" i="4" s="1"/>
  <c r="G23" i="2"/>
  <c r="G25" i="2" s="1"/>
  <c r="E17" i="1"/>
  <c r="F18" i="1"/>
  <c r="E35" i="1" l="1"/>
  <c r="O63" i="2" s="1"/>
  <c r="F64" i="2" s="1"/>
  <c r="F69" i="2" s="1"/>
  <c r="L13" i="4" s="1"/>
  <c r="D35" i="1"/>
  <c r="N63" i="2" s="1"/>
  <c r="E64" i="2" s="1"/>
  <c r="C35" i="1"/>
  <c r="M63" i="2" s="1"/>
  <c r="D64" i="2" s="1"/>
  <c r="L10" i="4"/>
  <c r="G28" i="2"/>
  <c r="D45" i="1"/>
  <c r="E45" i="1" s="1"/>
  <c r="D51" i="1"/>
  <c r="D106" i="2" s="1"/>
  <c r="D52" i="1"/>
  <c r="D107" i="2" s="1"/>
  <c r="D114" i="2" s="1"/>
  <c r="L14" i="4"/>
  <c r="F52" i="4"/>
  <c r="D52" i="4"/>
  <c r="E52" i="4" s="1"/>
  <c r="D46" i="1"/>
  <c r="D47" i="1"/>
  <c r="E47" i="1" s="1"/>
  <c r="H37" i="2"/>
  <c r="G37" i="2"/>
  <c r="D72" i="2"/>
  <c r="D74" i="2" s="1"/>
  <c r="M14" i="4"/>
  <c r="M10" i="4"/>
  <c r="E25" i="2"/>
  <c r="F16" i="4"/>
  <c r="E34" i="2"/>
  <c r="F22" i="4"/>
  <c r="E16" i="2"/>
  <c r="F10" i="4"/>
  <c r="F38" i="2"/>
  <c r="D22" i="8" s="1"/>
  <c r="H28" i="2"/>
  <c r="F29" i="2"/>
  <c r="D53" i="1"/>
  <c r="D108" i="2" s="1"/>
  <c r="D115" i="2" s="1"/>
  <c r="F16" i="2"/>
  <c r="H16" i="2"/>
  <c r="G16" i="2"/>
  <c r="D69" i="2"/>
  <c r="J13" i="4" s="1"/>
  <c r="D54" i="1"/>
  <c r="D109" i="2" s="1"/>
  <c r="E69" i="2"/>
  <c r="K13" i="4" s="1"/>
  <c r="E34" i="1"/>
  <c r="F35" i="1"/>
  <c r="D33" i="1"/>
  <c r="D34" i="1"/>
  <c r="C33" i="1"/>
  <c r="C34" i="1"/>
  <c r="E33" i="1"/>
  <c r="F33" i="1"/>
  <c r="F34" i="1"/>
  <c r="E19" i="1"/>
  <c r="F19" i="2" s="1"/>
  <c r="F20" i="2" s="1"/>
  <c r="F17" i="1"/>
  <c r="F41" i="1" s="1"/>
  <c r="N62" i="2" l="1"/>
  <c r="E63" i="2" s="1"/>
  <c r="E68" i="2" s="1"/>
  <c r="N61" i="2"/>
  <c r="E62" i="2" s="1"/>
  <c r="E67" i="2" s="1"/>
  <c r="K11" i="4" s="1"/>
  <c r="P63" i="2"/>
  <c r="G64" i="2" s="1"/>
  <c r="I64" i="2" s="1"/>
  <c r="P62" i="2"/>
  <c r="G63" i="2" s="1"/>
  <c r="G68" i="2" s="1"/>
  <c r="P61" i="2"/>
  <c r="G62" i="2" s="1"/>
  <c r="I62" i="2" s="1"/>
  <c r="O62" i="2"/>
  <c r="F63" i="2" s="1"/>
  <c r="F68" i="2" s="1"/>
  <c r="M61" i="2"/>
  <c r="D62" i="2" s="1"/>
  <c r="D67" i="2" s="1"/>
  <c r="J11" i="4" s="1"/>
  <c r="O61" i="2"/>
  <c r="F62" i="2" s="1"/>
  <c r="F67" i="2" s="1"/>
  <c r="L11" i="4" s="1"/>
  <c r="M62" i="2"/>
  <c r="D63" i="2" s="1"/>
  <c r="D68" i="2" s="1"/>
  <c r="J12" i="4" s="1"/>
  <c r="F107" i="2"/>
  <c r="E51" i="1"/>
  <c r="E106" i="2" s="1"/>
  <c r="D113" i="2"/>
  <c r="F106" i="2"/>
  <c r="D39" i="4"/>
  <c r="E39" i="4" s="1"/>
  <c r="J68" i="8"/>
  <c r="J71" i="8" s="1"/>
  <c r="L68" i="8"/>
  <c r="L71" i="8" s="1"/>
  <c r="E68" i="8"/>
  <c r="E71" i="8" s="1"/>
  <c r="D68" i="8"/>
  <c r="D71" i="8" s="1"/>
  <c r="F68" i="8"/>
  <c r="F71" i="8" s="1"/>
  <c r="H68" i="8"/>
  <c r="H71" i="8" s="1"/>
  <c r="G68" i="8"/>
  <c r="G71" i="8" s="1"/>
  <c r="I68" i="8"/>
  <c r="I71" i="8" s="1"/>
  <c r="N68" i="8"/>
  <c r="N71" i="8" s="1"/>
  <c r="M68" i="8"/>
  <c r="M71" i="8" s="1"/>
  <c r="K68" i="8"/>
  <c r="K71" i="8" s="1"/>
  <c r="P68" i="8"/>
  <c r="P71" i="8" s="1"/>
  <c r="O68" i="8"/>
  <c r="O71" i="8" s="1"/>
  <c r="D38" i="4"/>
  <c r="E38" i="4" s="1"/>
  <c r="N64" i="8"/>
  <c r="N67" i="8" s="1"/>
  <c r="G64" i="8"/>
  <c r="G67" i="8" s="1"/>
  <c r="I64" i="8"/>
  <c r="I67" i="8" s="1"/>
  <c r="Q64" i="8"/>
  <c r="Q67" i="8" s="1"/>
  <c r="F64" i="8"/>
  <c r="F67" i="8" s="1"/>
  <c r="P64" i="8"/>
  <c r="P67" i="8" s="1"/>
  <c r="K64" i="8"/>
  <c r="K67" i="8" s="1"/>
  <c r="D64" i="8"/>
  <c r="D67" i="8" s="1"/>
  <c r="O64" i="8"/>
  <c r="O67" i="8" s="1"/>
  <c r="J64" i="8"/>
  <c r="J67" i="8" s="1"/>
  <c r="L64" i="8"/>
  <c r="L67" i="8" s="1"/>
  <c r="H64" i="8"/>
  <c r="H67" i="8" s="1"/>
  <c r="E64" i="8"/>
  <c r="E67" i="8" s="1"/>
  <c r="M64" i="8"/>
  <c r="M67" i="8" s="1"/>
  <c r="J18" i="8"/>
  <c r="J21" i="8" s="1"/>
  <c r="G18" i="8"/>
  <c r="G21" i="8" s="1"/>
  <c r="D18" i="8"/>
  <c r="D21" i="8" s="1"/>
  <c r="K18" i="8"/>
  <c r="K21" i="8" s="1"/>
  <c r="Q18" i="8"/>
  <c r="Q21" i="8" s="1"/>
  <c r="N18" i="8"/>
  <c r="N21" i="8" s="1"/>
  <c r="I18" i="8"/>
  <c r="I21" i="8" s="1"/>
  <c r="E18" i="8"/>
  <c r="E21" i="8" s="1"/>
  <c r="P18" i="8"/>
  <c r="P21" i="8" s="1"/>
  <c r="M18" i="8"/>
  <c r="M21" i="8" s="1"/>
  <c r="L18" i="8"/>
  <c r="L21" i="8" s="1"/>
  <c r="H18" i="8"/>
  <c r="H21" i="8" s="1"/>
  <c r="O18" i="8"/>
  <c r="O21" i="8" s="1"/>
  <c r="K22" i="8"/>
  <c r="K25" i="8" s="1"/>
  <c r="J22" i="8"/>
  <c r="J25" i="8" s="1"/>
  <c r="N22" i="8"/>
  <c r="N25" i="8" s="1"/>
  <c r="F22" i="8"/>
  <c r="F25" i="8" s="1"/>
  <c r="I22" i="8"/>
  <c r="I25" i="8" s="1"/>
  <c r="L22" i="8"/>
  <c r="L25" i="8" s="1"/>
  <c r="P22" i="8"/>
  <c r="P25" i="8" s="1"/>
  <c r="G22" i="8"/>
  <c r="G25" i="8" s="1"/>
  <c r="H22" i="8"/>
  <c r="H25" i="8" s="1"/>
  <c r="E22" i="8"/>
  <c r="E25" i="8" s="1"/>
  <c r="M22" i="8"/>
  <c r="M25" i="8" s="1"/>
  <c r="D25" i="8"/>
  <c r="Q22" i="8"/>
  <c r="Q25" i="8" s="1"/>
  <c r="O22" i="8"/>
  <c r="O25" i="8" s="1"/>
  <c r="Q14" i="8"/>
  <c r="Q17" i="8" s="1"/>
  <c r="D14" i="8"/>
  <c r="D17" i="8" s="1"/>
  <c r="F14" i="8"/>
  <c r="F17" i="8" s="1"/>
  <c r="H14" i="8"/>
  <c r="H17" i="8" s="1"/>
  <c r="I14" i="8"/>
  <c r="I17" i="8" s="1"/>
  <c r="L14" i="8"/>
  <c r="L17" i="8" s="1"/>
  <c r="J14" i="8"/>
  <c r="J17" i="8" s="1"/>
  <c r="G14" i="8"/>
  <c r="G17" i="8" s="1"/>
  <c r="E14" i="8"/>
  <c r="E17" i="8" s="1"/>
  <c r="N14" i="8"/>
  <c r="N17" i="8" s="1"/>
  <c r="P14" i="8"/>
  <c r="P17" i="8" s="1"/>
  <c r="M14" i="8"/>
  <c r="M17" i="8" s="1"/>
  <c r="O14" i="8"/>
  <c r="O17" i="8" s="1"/>
  <c r="K14" i="8"/>
  <c r="K17" i="8" s="1"/>
  <c r="E114" i="2"/>
  <c r="E46" i="1"/>
  <c r="F72" i="2"/>
  <c r="F74" i="2" s="1"/>
  <c r="I72" i="2"/>
  <c r="I74" i="2" s="1"/>
  <c r="H72" i="2"/>
  <c r="H74" i="2" s="1"/>
  <c r="E72" i="2"/>
  <c r="J19" i="4" s="1"/>
  <c r="G72" i="2"/>
  <c r="G74" i="2" s="1"/>
  <c r="H19" i="2"/>
  <c r="G69" i="2"/>
  <c r="H64" i="2"/>
  <c r="E28" i="4"/>
  <c r="F28" i="4" s="1"/>
  <c r="F51" i="4" s="1"/>
  <c r="I29" i="2"/>
  <c r="E18" i="4"/>
  <c r="F18" i="4" s="1"/>
  <c r="I38" i="2"/>
  <c r="E24" i="4"/>
  <c r="F24" i="4" s="1"/>
  <c r="F109" i="2"/>
  <c r="D116" i="2"/>
  <c r="E115" i="2"/>
  <c r="Q68" i="8" s="1"/>
  <c r="Q71" i="8" s="1"/>
  <c r="F108" i="2"/>
  <c r="F19" i="1"/>
  <c r="G19" i="2" s="1"/>
  <c r="E41" i="1"/>
  <c r="E39" i="1"/>
  <c r="D39" i="1"/>
  <c r="F40" i="1"/>
  <c r="E40" i="1"/>
  <c r="D41" i="1"/>
  <c r="D40" i="1"/>
  <c r="C41" i="1"/>
  <c r="E54" i="1"/>
  <c r="E109" i="2" s="1"/>
  <c r="E53" i="1"/>
  <c r="E108" i="2" s="1"/>
  <c r="C40" i="1"/>
  <c r="E52" i="1"/>
  <c r="E107" i="2" s="1"/>
  <c r="C39" i="1"/>
  <c r="F39" i="1"/>
  <c r="H62" i="2" s="1"/>
  <c r="J15" i="4" l="1"/>
  <c r="G67" i="2"/>
  <c r="H67" i="2" s="1"/>
  <c r="D43" i="8"/>
  <c r="D46" i="8" s="1"/>
  <c r="F43" i="8"/>
  <c r="F46" i="8" s="1"/>
  <c r="H43" i="8"/>
  <c r="H46" i="8" s="1"/>
  <c r="M43" i="8"/>
  <c r="M46" i="8" s="1"/>
  <c r="L43" i="8"/>
  <c r="L46" i="8" s="1"/>
  <c r="G43" i="8"/>
  <c r="G46" i="8" s="1"/>
  <c r="I43" i="8"/>
  <c r="I46" i="8" s="1"/>
  <c r="L12" i="4"/>
  <c r="L15" i="4" s="1"/>
  <c r="N43" i="8"/>
  <c r="N46" i="8" s="1"/>
  <c r="P43" i="8"/>
  <c r="P46" i="8" s="1"/>
  <c r="E43" i="8"/>
  <c r="E46" i="8" s="1"/>
  <c r="O43" i="8"/>
  <c r="O46" i="8" s="1"/>
  <c r="Q43" i="8"/>
  <c r="Q46" i="8" s="1"/>
  <c r="J43" i="8"/>
  <c r="J46" i="8" s="1"/>
  <c r="K43" i="8"/>
  <c r="K46" i="8" s="1"/>
  <c r="Q39" i="8"/>
  <c r="Q42" i="8" s="1"/>
  <c r="P39" i="8"/>
  <c r="P42" i="8" s="1"/>
  <c r="O39" i="8"/>
  <c r="O42" i="8" s="1"/>
  <c r="H39" i="8"/>
  <c r="H42" i="8" s="1"/>
  <c r="N39" i="8"/>
  <c r="N42" i="8" s="1"/>
  <c r="F39" i="8"/>
  <c r="F42" i="8" s="1"/>
  <c r="E39" i="8"/>
  <c r="E42" i="8" s="1"/>
  <c r="J39" i="8"/>
  <c r="J42" i="8" s="1"/>
  <c r="K12" i="4"/>
  <c r="K15" i="4" s="1"/>
  <c r="K39" i="8"/>
  <c r="K42" i="8" s="1"/>
  <c r="G39" i="8"/>
  <c r="G42" i="8" s="1"/>
  <c r="D39" i="8"/>
  <c r="D42" i="8" s="1"/>
  <c r="L39" i="8"/>
  <c r="L42" i="8" s="1"/>
  <c r="I39" i="8"/>
  <c r="I42" i="8" s="1"/>
  <c r="M39" i="8"/>
  <c r="M42" i="8" s="1"/>
  <c r="I63" i="2"/>
  <c r="H63" i="2"/>
  <c r="D37" i="4"/>
  <c r="E37" i="4" s="1"/>
  <c r="E113" i="2"/>
  <c r="F80" i="2"/>
  <c r="H80" i="2" s="1"/>
  <c r="F78" i="2"/>
  <c r="D40" i="4"/>
  <c r="E40" i="4" s="1"/>
  <c r="F72" i="8"/>
  <c r="F75" i="8" s="1"/>
  <c r="J72" i="8"/>
  <c r="J75" i="8" s="1"/>
  <c r="P72" i="8"/>
  <c r="P75" i="8" s="1"/>
  <c r="N72" i="8"/>
  <c r="N75" i="8" s="1"/>
  <c r="E72" i="8"/>
  <c r="E75" i="8" s="1"/>
  <c r="G72" i="8"/>
  <c r="G75" i="8" s="1"/>
  <c r="Q72" i="8"/>
  <c r="Q75" i="8" s="1"/>
  <c r="D72" i="8"/>
  <c r="D75" i="8" s="1"/>
  <c r="M72" i="8"/>
  <c r="M75" i="8" s="1"/>
  <c r="H72" i="8"/>
  <c r="H75" i="8" s="1"/>
  <c r="K72" i="8"/>
  <c r="K75" i="8" s="1"/>
  <c r="I72" i="8"/>
  <c r="I75" i="8" s="1"/>
  <c r="O72" i="8"/>
  <c r="O75" i="8" s="1"/>
  <c r="L72" i="8"/>
  <c r="L75" i="8" s="1"/>
  <c r="P47" i="8"/>
  <c r="P50" i="8" s="1"/>
  <c r="O47" i="8"/>
  <c r="O50" i="8" s="1"/>
  <c r="I47" i="8"/>
  <c r="I50" i="8" s="1"/>
  <c r="N47" i="8"/>
  <c r="N50" i="8" s="1"/>
  <c r="D47" i="8"/>
  <c r="D50" i="8" s="1"/>
  <c r="Q47" i="8"/>
  <c r="Q50" i="8" s="1"/>
  <c r="H47" i="8"/>
  <c r="H50" i="8" s="1"/>
  <c r="K47" i="8"/>
  <c r="K50" i="8" s="1"/>
  <c r="F47" i="8"/>
  <c r="F50" i="8" s="1"/>
  <c r="M47" i="8"/>
  <c r="M50" i="8" s="1"/>
  <c r="L47" i="8"/>
  <c r="L50" i="8" s="1"/>
  <c r="J47" i="8"/>
  <c r="J50" i="8" s="1"/>
  <c r="G47" i="8"/>
  <c r="G50" i="8" s="1"/>
  <c r="E47" i="8"/>
  <c r="E50" i="8" s="1"/>
  <c r="D51" i="4"/>
  <c r="E51" i="4" s="1"/>
  <c r="F79" i="2"/>
  <c r="E74" i="2"/>
  <c r="K19" i="4"/>
  <c r="K28" i="4" s="1"/>
  <c r="L28" i="4" s="1"/>
  <c r="F56" i="4" s="1"/>
  <c r="H68" i="2"/>
  <c r="M12" i="4"/>
  <c r="M13" i="4"/>
  <c r="H69" i="2"/>
  <c r="M11" i="4"/>
  <c r="I20" i="2"/>
  <c r="E12" i="4"/>
  <c r="F12" i="4" s="1"/>
  <c r="E30" i="4" s="1"/>
  <c r="F30" i="4" s="1"/>
  <c r="E116" i="2"/>
  <c r="G80" i="2" l="1"/>
  <c r="F85" i="2"/>
  <c r="J24" i="4" s="1"/>
  <c r="K24" i="4" s="1"/>
  <c r="E46" i="4"/>
  <c r="F46" i="4" s="1"/>
  <c r="J52" i="4" s="1"/>
  <c r="K52" i="4" s="1"/>
  <c r="H78" i="2"/>
  <c r="G78" i="2"/>
  <c r="F83" i="2"/>
  <c r="D56" i="4"/>
  <c r="E56" i="4" s="1"/>
  <c r="H61" i="4" s="1"/>
  <c r="J61" i="4" s="1"/>
  <c r="L61" i="4" s="1"/>
  <c r="E53" i="4"/>
  <c r="D53" i="4"/>
  <c r="F84" i="2"/>
  <c r="G79" i="2"/>
  <c r="H79" i="2"/>
  <c r="M15" i="4"/>
  <c r="I80" i="2" l="1"/>
  <c r="I78" i="2"/>
  <c r="J22" i="4"/>
  <c r="K22" i="4" s="1"/>
  <c r="J23" i="4"/>
  <c r="K23" i="4" s="1"/>
  <c r="I79" i="2"/>
  <c r="L30" i="4" l="1"/>
  <c r="D58" i="4" s="1"/>
  <c r="E58" i="4" s="1"/>
  <c r="H62" i="4" s="1"/>
  <c r="J62" i="4" s="1"/>
  <c r="L62" i="4" s="1"/>
  <c r="L6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Finn Avdem</author>
  </authors>
  <commentList>
    <comment ref="E18" authorId="0" shapeId="0" xr:uid="{00000000-0006-0000-0200-000001000000}">
      <text>
        <r>
          <rPr>
            <b/>
            <sz val="12"/>
            <color indexed="81"/>
            <rFont val="Tahoma"/>
            <family val="2"/>
          </rPr>
          <t>Finn Avdem:</t>
        </r>
        <r>
          <rPr>
            <sz val="12"/>
            <color indexed="81"/>
            <rFont val="Tahoma"/>
            <family val="2"/>
          </rPr>
          <t xml:space="preserve">
her har du muligheit til å bruke holdendrings-kalkulatoren (siste rekneark) for å berekne fôrbehov til holdendring</t>
        </r>
      </text>
    </comment>
    <comment ref="D49" authorId="0" shapeId="0" xr:uid="{00000000-0006-0000-0200-000002000000}">
      <text>
        <r>
          <rPr>
            <b/>
            <sz val="8"/>
            <color indexed="81"/>
            <rFont val="Tahoma"/>
            <family val="2"/>
          </rPr>
          <t>Finn Avdem:</t>
        </r>
        <r>
          <rPr>
            <sz val="8"/>
            <color indexed="81"/>
            <rFont val="Tahoma"/>
            <family val="2"/>
          </rPr>
          <t xml:space="preserve">
Ein kan leggje inn 0,4FEm holdmobilisering pr dag for søyer i holdgruppe 3 og oppover dersom ein ikkje har alt for lang innefôring etter lamming </t>
        </r>
      </text>
    </comment>
  </commentList>
</comments>
</file>

<file path=xl/sharedStrings.xml><?xml version="1.0" encoding="utf-8"?>
<sst xmlns="http://schemas.openxmlformats.org/spreadsheetml/2006/main" count="889" uniqueCount="390">
  <si>
    <t>Namn</t>
  </si>
  <si>
    <t>Adresse</t>
  </si>
  <si>
    <t>post nr og stad</t>
  </si>
  <si>
    <t xml:space="preserve">Tlf </t>
  </si>
  <si>
    <t>Rådgjevar</t>
  </si>
  <si>
    <t>Tal sau</t>
  </si>
  <si>
    <t>Tal påsettlam</t>
  </si>
  <si>
    <t>Innsett dato</t>
  </si>
  <si>
    <t>Fôrdager</t>
  </si>
  <si>
    <t>Paringsdato</t>
  </si>
  <si>
    <t>% svinn</t>
  </si>
  <si>
    <t>Høgdrektigheitsperiode</t>
  </si>
  <si>
    <t>grovfôr</t>
  </si>
  <si>
    <t>Lamming</t>
  </si>
  <si>
    <t>beiteslepp</t>
  </si>
  <si>
    <t>Sum</t>
  </si>
  <si>
    <t xml:space="preserve">Fôrbehov: </t>
  </si>
  <si>
    <t>Tal søyer</t>
  </si>
  <si>
    <t>Søye lavdrektig dårleg hold</t>
  </si>
  <si>
    <t>Fem</t>
  </si>
  <si>
    <t>AAT</t>
  </si>
  <si>
    <t>PBV</t>
  </si>
  <si>
    <t>Vedlikehald</t>
  </si>
  <si>
    <t>Søyevekt, kg</t>
  </si>
  <si>
    <t>Holdoppbygging</t>
  </si>
  <si>
    <t>Søye lavdrektig godt hold</t>
  </si>
  <si>
    <t xml:space="preserve">Påsettlam </t>
  </si>
  <si>
    <t>Tal lam</t>
  </si>
  <si>
    <t>Vekt, kg</t>
  </si>
  <si>
    <t>Tilvekst g/dag</t>
  </si>
  <si>
    <t>SUM</t>
  </si>
  <si>
    <t>Søye høgdrektig</t>
  </si>
  <si>
    <t>Veker før lamming, FEm til fostervekst+vedlikehald</t>
  </si>
  <si>
    <t xml:space="preserve">Tal </t>
  </si>
  <si>
    <t>Tal foster</t>
  </si>
  <si>
    <t>8-6</t>
  </si>
  <si>
    <t>6-4</t>
  </si>
  <si>
    <t>4-2</t>
  </si>
  <si>
    <t>2-0</t>
  </si>
  <si>
    <t>søyer</t>
  </si>
  <si>
    <t>Veker før lamming, AAT til fostervekst+vedlikehald</t>
  </si>
  <si>
    <t>8-7</t>
  </si>
  <si>
    <t>6-5</t>
  </si>
  <si>
    <t>4-3</t>
  </si>
  <si>
    <t>Påsettlam høgdrektig</t>
  </si>
  <si>
    <t>Talpåsett</t>
  </si>
  <si>
    <t>Påsettlam vekt, kg</t>
  </si>
  <si>
    <t>Lam</t>
  </si>
  <si>
    <t>Søye etter lamming</t>
  </si>
  <si>
    <t>Holdmobilisering FEm/dag</t>
  </si>
  <si>
    <t>Tal</t>
  </si>
  <si>
    <t>Tilvekst pr lam g/dag</t>
  </si>
  <si>
    <t>FEm/dag</t>
  </si>
  <si>
    <t>AAT/g/dag</t>
  </si>
  <si>
    <t>Søyer</t>
  </si>
  <si>
    <t>Lam pr søye</t>
  </si>
  <si>
    <t>Lam på sluttfôring</t>
  </si>
  <si>
    <t>Slakte%</t>
  </si>
  <si>
    <t>Sankedato</t>
  </si>
  <si>
    <t>slaktedato</t>
  </si>
  <si>
    <t>Middel sankevekt, kg</t>
  </si>
  <si>
    <t>vekt slakting, kg</t>
  </si>
  <si>
    <t>Slaktevekt</t>
  </si>
  <si>
    <t>kg</t>
  </si>
  <si>
    <t>g pr kg TS</t>
  </si>
  <si>
    <t>Vekt pr</t>
  </si>
  <si>
    <t>FEm pr</t>
  </si>
  <si>
    <t>Grovfôr</t>
  </si>
  <si>
    <t>Tørrstoff %</t>
  </si>
  <si>
    <t>NDF</t>
  </si>
  <si>
    <t>FEm</t>
  </si>
  <si>
    <t xml:space="preserve">AAT </t>
  </si>
  <si>
    <t>Mine grovfôrslag/spesialfôr</t>
  </si>
  <si>
    <t>Antall</t>
  </si>
  <si>
    <t>eining</t>
  </si>
  <si>
    <t>Tårnsilo</t>
  </si>
  <si>
    <t>800 kg pr m3 masse (kan legge på 10 % for svært høge siloar)</t>
  </si>
  <si>
    <t>1.slått surfôr &lt; 25% kløver svært tidleg</t>
  </si>
  <si>
    <t>1.slått surfôr &lt; 25% kløver tidleg</t>
  </si>
  <si>
    <t>Plansilo</t>
  </si>
  <si>
    <t xml:space="preserve">700 kg pr m3 for heilt gras og 800 kg pr m3 for kutta gras </t>
  </si>
  <si>
    <t>1.slått surfôr &lt; 25% kløver middels</t>
  </si>
  <si>
    <t>1.slått surfôr &lt; 25% kløver seint</t>
  </si>
  <si>
    <t>Høy og halm</t>
  </si>
  <si>
    <t>Høy kg/m3</t>
  </si>
  <si>
    <t>Halm kg/m3</t>
  </si>
  <si>
    <t>Høy middels</t>
  </si>
  <si>
    <t>2 m lagringshøgde</t>
  </si>
  <si>
    <t>40-45</t>
  </si>
  <si>
    <t>25-30</t>
  </si>
  <si>
    <t>1.slått surfôr &lt; 25% kløver svært seint</t>
  </si>
  <si>
    <t>Gjødsla hå</t>
  </si>
  <si>
    <t>3 m lagringshøgde</t>
  </si>
  <si>
    <t>45-50</t>
  </si>
  <si>
    <t>30-35</t>
  </si>
  <si>
    <t xml:space="preserve">2.slått surfôr tidleg </t>
  </si>
  <si>
    <t>Ingen grovfôr nr 2</t>
  </si>
  <si>
    <t>4 m lagringshøgde</t>
  </si>
  <si>
    <t>50-55</t>
  </si>
  <si>
    <t>35-40</t>
  </si>
  <si>
    <t>2.slått surfôr sein</t>
  </si>
  <si>
    <t>5 m lagringshøgde</t>
  </si>
  <si>
    <t>55-60</t>
  </si>
  <si>
    <t>Beite vår</t>
  </si>
  <si>
    <t>Beite forsommer</t>
  </si>
  <si>
    <t>Spesialfôr</t>
  </si>
  <si>
    <t>Laust pressa</t>
  </si>
  <si>
    <t>80-100</t>
  </si>
  <si>
    <t>60-80</t>
  </si>
  <si>
    <t>Beite ettersommer</t>
  </si>
  <si>
    <t>Drøv roeblanding</t>
  </si>
  <si>
    <t>Middels pressa</t>
  </si>
  <si>
    <t>100-130</t>
  </si>
  <si>
    <t>Ugjødsla hå</t>
  </si>
  <si>
    <t>Drøv grovfôrdrøyer</t>
  </si>
  <si>
    <t>Hard pressa</t>
  </si>
  <si>
    <t>130-160</t>
  </si>
  <si>
    <t>100-120</t>
  </si>
  <si>
    <t>FK Betefôr FKA</t>
  </si>
  <si>
    <t>Raigras</t>
  </si>
  <si>
    <t>Byggpellet FKA</t>
  </si>
  <si>
    <t>Anslag på rundballevekt ved ulik tørrstoff % ved diameter på 1,25-1,30 på rundballen</t>
  </si>
  <si>
    <t>Høy svært tidleg</t>
  </si>
  <si>
    <t>Formel Protein 42 FKA</t>
  </si>
  <si>
    <t>Høy tidleg</t>
  </si>
  <si>
    <t>FK Pro- Ammon Bygg</t>
  </si>
  <si>
    <t xml:space="preserve">Vekt per balle, kg </t>
  </si>
  <si>
    <t>Fiskå FiberMix</t>
  </si>
  <si>
    <t>Høy seint</t>
  </si>
  <si>
    <t>Fiskå Roetopp</t>
  </si>
  <si>
    <t>Ubehandla Halm</t>
  </si>
  <si>
    <t>Fiskå Proteintilskudd</t>
  </si>
  <si>
    <t>Gulrot</t>
  </si>
  <si>
    <t>Poteter</t>
  </si>
  <si>
    <r>
      <t>NH</t>
    </r>
    <r>
      <rPr>
        <vertAlign val="subscript"/>
        <sz val="12"/>
        <rFont val="Arial"/>
        <family val="2"/>
      </rPr>
      <t xml:space="preserve">3 </t>
    </r>
    <r>
      <rPr>
        <sz val="12"/>
        <rFont val="Arial"/>
        <family val="2"/>
      </rPr>
      <t>behandla halm</t>
    </r>
  </si>
  <si>
    <t>pr kg TS</t>
  </si>
  <si>
    <t>Innleggsseddel:</t>
  </si>
  <si>
    <t>% av fôr</t>
  </si>
  <si>
    <t>Cu</t>
  </si>
  <si>
    <t>Se</t>
  </si>
  <si>
    <t>Co</t>
  </si>
  <si>
    <t>Zn</t>
  </si>
  <si>
    <t>Mn</t>
  </si>
  <si>
    <t>I</t>
  </si>
  <si>
    <t>Fe</t>
  </si>
  <si>
    <t>E-vitamin</t>
  </si>
  <si>
    <t>nr</t>
  </si>
  <si>
    <t>Kraftfôr</t>
  </si>
  <si>
    <t>g NDF</t>
  </si>
  <si>
    <t>FEm /100kg</t>
  </si>
  <si>
    <t>AAT/FEm</t>
  </si>
  <si>
    <t>PBV/FEm</t>
  </si>
  <si>
    <t>NDF%</t>
  </si>
  <si>
    <t>Pris /Fem</t>
  </si>
  <si>
    <t>Ca</t>
  </si>
  <si>
    <t>P</t>
  </si>
  <si>
    <t>Mg</t>
  </si>
  <si>
    <t>Na</t>
  </si>
  <si>
    <t>K</t>
  </si>
  <si>
    <t>Cl</t>
  </si>
  <si>
    <t>S</t>
  </si>
  <si>
    <t>mg/kg</t>
  </si>
  <si>
    <t>IE/kg</t>
  </si>
  <si>
    <t xml:space="preserve">Formel Sau FK Agri </t>
  </si>
  <si>
    <t>Formel Sau Ekstra FK Agri</t>
  </si>
  <si>
    <t>Formel Sau Intensiv FK Agri</t>
  </si>
  <si>
    <t>Formel Lam FK Agri</t>
  </si>
  <si>
    <t>Formel Sau Linnea FKAgri</t>
  </si>
  <si>
    <t>Natura sau</t>
  </si>
  <si>
    <t>Drøv sau melkefôr</t>
  </si>
  <si>
    <t>Drøv Lam</t>
  </si>
  <si>
    <t>Drøv Sau Vinter</t>
  </si>
  <si>
    <t xml:space="preserve">Fiskå Sau/Lam Appetitt </t>
  </si>
  <si>
    <t>Fiskå Lam Beite</t>
  </si>
  <si>
    <t>Fiskå Sauefôr Drektig</t>
  </si>
  <si>
    <t>Fiskå Sauefôr</t>
  </si>
  <si>
    <t>Fiskå TopLac Sau</t>
  </si>
  <si>
    <t>Fiskå TopLac Sau Fiber</t>
  </si>
  <si>
    <t>Tilskotsfôr</t>
  </si>
  <si>
    <t xml:space="preserve">g per kg </t>
  </si>
  <si>
    <t>ie/g</t>
  </si>
  <si>
    <t>A-vit</t>
  </si>
  <si>
    <t>D-vit</t>
  </si>
  <si>
    <t>E-vit</t>
  </si>
  <si>
    <t>Biotin</t>
  </si>
  <si>
    <t>Pluss Sau, pellets</t>
  </si>
  <si>
    <t>Pluss Sau Appetitt, mel</t>
  </si>
  <si>
    <t>Pluss Sau VM-blokk</t>
  </si>
  <si>
    <t>Natura Minovit Sau, mel</t>
  </si>
  <si>
    <t>Pluss E-konsentrat, mel</t>
  </si>
  <si>
    <t>Pluss E-vit. m/Se,Bi, mel</t>
  </si>
  <si>
    <t>Pluss Saltslikkestein Rød</t>
  </si>
  <si>
    <t>Pluss sau mineralstein</t>
  </si>
  <si>
    <t>Pluss Saltslikkestein Hvit</t>
  </si>
  <si>
    <t>Premium drektig sau</t>
  </si>
  <si>
    <t>Premium Evita</t>
  </si>
  <si>
    <t>Innsett til høgdrektig</t>
  </si>
  <si>
    <t>Tal fôrdager</t>
  </si>
  <si>
    <t>Dato</t>
  </si>
  <si>
    <t>vekt pr m3/</t>
  </si>
  <si>
    <t>Grovfôr/spesialfôr</t>
  </si>
  <si>
    <t>rundball</t>
  </si>
  <si>
    <t>korrigeringsfaktor</t>
  </si>
  <si>
    <t>NDF kapasitet</t>
  </si>
  <si>
    <t>Fortrenging av grovfôr 1 ved bruk av grovfôr 2</t>
  </si>
  <si>
    <t>Kg TS</t>
  </si>
  <si>
    <t>Kg fôr</t>
  </si>
  <si>
    <t>Sum grovfôrtildeling</t>
  </si>
  <si>
    <t>Kraftfôrbehov</t>
  </si>
  <si>
    <t>NDF kontroll</t>
  </si>
  <si>
    <t>Balanse FEm og AAT/FEm og PBV/FEm</t>
  </si>
  <si>
    <t>kg/dag</t>
  </si>
  <si>
    <t>Påsettlam</t>
  </si>
  <si>
    <t>Høgdrektig til lamming</t>
  </si>
  <si>
    <t>Vekt pr m3/</t>
  </si>
  <si>
    <t>Rundball</t>
  </si>
  <si>
    <t xml:space="preserve">Søye høgdrektig </t>
  </si>
  <si>
    <t>Veker før lamming</t>
  </si>
  <si>
    <t>Siste to veker</t>
  </si>
  <si>
    <t>Ballanse FEm og AAT/FEm</t>
  </si>
  <si>
    <t xml:space="preserve">8-6 veker </t>
  </si>
  <si>
    <t>6-4 veker</t>
  </si>
  <si>
    <t xml:space="preserve">4-2 veker </t>
  </si>
  <si>
    <t>2-0 veker</t>
  </si>
  <si>
    <t>1 foster</t>
  </si>
  <si>
    <t>2 foster</t>
  </si>
  <si>
    <t>3 og fleire</t>
  </si>
  <si>
    <t>kg/dag frå dato:</t>
  </si>
  <si>
    <t>|</t>
  </si>
  <si>
    <t>Påsettlam 0 foster</t>
  </si>
  <si>
    <t>Påsettlam 1 foster</t>
  </si>
  <si>
    <t>Påsettlam 2 eller fleire foster</t>
  </si>
  <si>
    <t>Krafftfôrbehov</t>
  </si>
  <si>
    <t>Lamming-beiteslepp</t>
  </si>
  <si>
    <t>Tal fôrdagar</t>
  </si>
  <si>
    <t>Søye 0 lam</t>
  </si>
  <si>
    <t>Søye 1 lam</t>
  </si>
  <si>
    <t>Søye 2 lam</t>
  </si>
  <si>
    <t>Søye 3 lam</t>
  </si>
  <si>
    <t>0 lam</t>
  </si>
  <si>
    <t>1 lam</t>
  </si>
  <si>
    <t>2 lam</t>
  </si>
  <si>
    <t>3 lam</t>
  </si>
  <si>
    <t>Rapport Nortura sauefôring</t>
  </si>
  <si>
    <t>Kg pr søye</t>
  </si>
  <si>
    <t>Kg for gruppa</t>
  </si>
  <si>
    <t>kg pr dag for gruppa</t>
  </si>
  <si>
    <t>0 foster</t>
  </si>
  <si>
    <t>2 eller fleire</t>
  </si>
  <si>
    <t>Fôrforbruk i perioden</t>
  </si>
  <si>
    <t xml:space="preserve">Tal rundballar/m3 </t>
  </si>
  <si>
    <t>Pr dag</t>
  </si>
  <si>
    <t>Perioda</t>
  </si>
  <si>
    <t>Kg pr lam</t>
  </si>
  <si>
    <t>Fôrforbruk</t>
  </si>
  <si>
    <t>Tal rundballer/</t>
  </si>
  <si>
    <t>Kg</t>
  </si>
  <si>
    <r>
      <t>m</t>
    </r>
    <r>
      <rPr>
        <b/>
        <vertAlign val="superscript"/>
        <sz val="11"/>
        <color theme="1"/>
        <rFont val="Calibri"/>
        <family val="2"/>
        <scheme val="minor"/>
      </rPr>
      <t xml:space="preserve">3 </t>
    </r>
    <r>
      <rPr>
        <b/>
        <sz val="11"/>
        <color theme="1"/>
        <rFont val="Calibri"/>
        <family val="2"/>
        <scheme val="minor"/>
      </rPr>
      <t>/småballer</t>
    </r>
  </si>
  <si>
    <t>I alt</t>
  </si>
  <si>
    <t>Pr sau</t>
  </si>
  <si>
    <t>Pris kr/Fem</t>
  </si>
  <si>
    <t>Kr pr sau</t>
  </si>
  <si>
    <t xml:space="preserve">FEm grovfôr </t>
  </si>
  <si>
    <t>FEm kraftfôr</t>
  </si>
  <si>
    <t>Lavdrektigheit</t>
  </si>
  <si>
    <t>g/kg TS</t>
  </si>
  <si>
    <t>mg/kg TS</t>
  </si>
  <si>
    <t>Mineralinnhald grovfôr</t>
  </si>
  <si>
    <t>g/dag</t>
  </si>
  <si>
    <t>mg dag</t>
  </si>
  <si>
    <t>I.E.</t>
  </si>
  <si>
    <t>i</t>
  </si>
  <si>
    <t>Søye lavdrektig</t>
  </si>
  <si>
    <t>Påsettlam lavdrektig</t>
  </si>
  <si>
    <t xml:space="preserve">Kraftfôr </t>
  </si>
  <si>
    <t>Søye høgdrektig 6-4</t>
  </si>
  <si>
    <t>Søye høgdrektig 4-2</t>
  </si>
  <si>
    <t>Søye høgdrektig 2-0</t>
  </si>
  <si>
    <t>Søye laktasjon 1 lam</t>
  </si>
  <si>
    <t>Tilført frå fôret</t>
  </si>
  <si>
    <t>Søye laktasjon 2 lam</t>
  </si>
  <si>
    <t>Søye laktasjon 3 og  fleire</t>
  </si>
  <si>
    <t>Verdier henta frå NRC 2007 søye 80kg, 2 foster</t>
  </si>
  <si>
    <t>% dekning</t>
  </si>
  <si>
    <t>Høgdrektigheit</t>
  </si>
  <si>
    <t>Etter lamming</t>
  </si>
  <si>
    <t>Søye</t>
  </si>
  <si>
    <t>Vekt-</t>
  </si>
  <si>
    <t>Fem-behov</t>
  </si>
  <si>
    <t>Aktuell holdgruppe</t>
  </si>
  <si>
    <t>Ynskt holdgruppe</t>
  </si>
  <si>
    <t>holdendring</t>
  </si>
  <si>
    <t>vekt kg</t>
  </si>
  <si>
    <t>endring kg</t>
  </si>
  <si>
    <t>Totalt</t>
  </si>
  <si>
    <t>Dagar</t>
  </si>
  <si>
    <t xml:space="preserve">FEm behov holdendring frå </t>
  </si>
  <si>
    <t>Innsett-høgdrektigheitsperiode:</t>
  </si>
  <si>
    <t>Rettleiing for å velje rett grovfôrslag om ein ikkje har eigne analyser:</t>
  </si>
  <si>
    <r>
      <rPr>
        <b/>
        <u/>
        <sz val="18"/>
        <rFont val="Arial"/>
        <family val="2"/>
      </rPr>
      <t>Svært tidleg</t>
    </r>
    <r>
      <rPr>
        <sz val="18"/>
        <rFont val="Arial"/>
        <family val="2"/>
      </rPr>
      <t xml:space="preserve"> haustetid betyr at graset </t>
    </r>
  </si>
  <si>
    <t>er heilt i starten av stråstrekkinga</t>
  </si>
  <si>
    <r>
      <rPr>
        <b/>
        <u/>
        <sz val="18"/>
        <rFont val="Arial"/>
        <family val="2"/>
      </rPr>
      <t>Tidleg</t>
    </r>
    <r>
      <rPr>
        <sz val="18"/>
        <rFont val="Arial"/>
        <family val="2"/>
      </rPr>
      <t xml:space="preserve"> haustetid betyr at graset er</t>
    </r>
  </si>
  <si>
    <t xml:space="preserve"> i byrjande skyting</t>
  </si>
  <si>
    <t xml:space="preserve"> </t>
  </si>
  <si>
    <r>
      <rPr>
        <b/>
        <u/>
        <sz val="18"/>
        <rFont val="Arial"/>
        <family val="2"/>
      </rPr>
      <t>Middels</t>
    </r>
    <r>
      <rPr>
        <sz val="18"/>
        <rFont val="Arial"/>
        <family val="2"/>
      </rPr>
      <t xml:space="preserve"> tidleg haustetid betyr at</t>
    </r>
  </si>
  <si>
    <t xml:space="preserve"> graset er i skyting</t>
  </si>
  <si>
    <r>
      <rPr>
        <b/>
        <u/>
        <sz val="18"/>
        <rFont val="Arial"/>
        <family val="2"/>
      </rPr>
      <t>Sein</t>
    </r>
    <r>
      <rPr>
        <sz val="18"/>
        <rFont val="Arial"/>
        <family val="2"/>
      </rPr>
      <t xml:space="preserve"> haustetid betyr at graset</t>
    </r>
  </si>
  <si>
    <t xml:space="preserve"> er i full skyting</t>
  </si>
  <si>
    <r>
      <rPr>
        <b/>
        <u/>
        <sz val="18"/>
        <rFont val="Arial"/>
        <family val="2"/>
      </rPr>
      <t>Svært sein</t>
    </r>
    <r>
      <rPr>
        <sz val="18"/>
        <rFont val="Arial"/>
        <family val="2"/>
      </rPr>
      <t xml:space="preserve"> haustetid betyr at graset </t>
    </r>
  </si>
  <si>
    <t>er i blomstring</t>
  </si>
  <si>
    <r>
      <rPr>
        <b/>
        <u/>
        <sz val="18"/>
        <rFont val="Arial"/>
        <family val="2"/>
      </rPr>
      <t xml:space="preserve">2. slått tidleg </t>
    </r>
    <r>
      <rPr>
        <sz val="18"/>
        <rFont val="Arial"/>
        <family val="2"/>
      </rPr>
      <t>betyr at gjenveksten har vokse i  350-400 døgngrader</t>
    </r>
  </si>
  <si>
    <r>
      <rPr>
        <b/>
        <u/>
        <sz val="18"/>
        <rFont val="Arial"/>
        <family val="2"/>
      </rPr>
      <t xml:space="preserve">2. slått seint </t>
    </r>
    <r>
      <rPr>
        <sz val="18"/>
        <rFont val="Arial"/>
        <family val="2"/>
      </rPr>
      <t>betyr gjenveksten har vokse i 550-600</t>
    </r>
    <r>
      <rPr>
        <b/>
        <sz val="18"/>
        <rFont val="Arial"/>
        <family val="2"/>
      </rPr>
      <t xml:space="preserve"> </t>
    </r>
    <r>
      <rPr>
        <sz val="18"/>
        <rFont val="Arial"/>
        <family val="2"/>
      </rPr>
      <t>døgngrader</t>
    </r>
  </si>
  <si>
    <t>TS</t>
  </si>
  <si>
    <t xml:space="preserve">Lavdrektig </t>
  </si>
  <si>
    <t>søye</t>
  </si>
  <si>
    <t>FEm opptak</t>
  </si>
  <si>
    <t>TS opptak</t>
  </si>
  <si>
    <t>Alka sau melk</t>
  </si>
  <si>
    <t>Alka sau</t>
  </si>
  <si>
    <t>Medel TS opptak</t>
  </si>
  <si>
    <t>Formel Lam FKRA</t>
  </si>
  <si>
    <t>Formel Sau Linnea FKRA</t>
  </si>
  <si>
    <t>Formel Sau Ekstra FKRA</t>
  </si>
  <si>
    <t>Formel Sau FKRA</t>
  </si>
  <si>
    <t>Formel Sau Intensiv FKRA</t>
  </si>
  <si>
    <t>Formel Sau X FKRA</t>
  </si>
  <si>
    <t>Fôrmiddel</t>
  </si>
  <si>
    <t>Aske , g/kg TS</t>
  </si>
  <si>
    <t>Org, g/kg TS</t>
  </si>
  <si>
    <t>Råprotein, g/kg TS</t>
  </si>
  <si>
    <t>NH3, g/kg N</t>
  </si>
  <si>
    <t>CPcorr, g/kg TS</t>
  </si>
  <si>
    <t>råfett, g/kg TS</t>
  </si>
  <si>
    <t>NDF, g/kg TS</t>
  </si>
  <si>
    <t>OMD, %</t>
  </si>
  <si>
    <t>DOM, g/kg TS</t>
  </si>
  <si>
    <t>BE, MJ/kg TS</t>
  </si>
  <si>
    <t>Omsettelig energi, MJ/kg TS</t>
  </si>
  <si>
    <t>FEm per kg TS</t>
  </si>
  <si>
    <t>RCHO, g/kg TS</t>
  </si>
  <si>
    <t>DRCHO, g/kg TS</t>
  </si>
  <si>
    <t>DNDF, g/kg TS</t>
  </si>
  <si>
    <t>DCHO, g/kg TS</t>
  </si>
  <si>
    <t>AATm, g/kg TS</t>
  </si>
  <si>
    <t>NGP, %</t>
  </si>
  <si>
    <t>UCP, %</t>
  </si>
  <si>
    <t>AATINP, g/kg TS</t>
  </si>
  <si>
    <t>AAT, g/kg TS</t>
  </si>
  <si>
    <t>PBV, g/kg Ts</t>
  </si>
  <si>
    <t>BE = Innholdet av bruttoenergi varierer lite i grassurfôr og settes til 18,6 MJ per kg tørrstoff</t>
  </si>
  <si>
    <t>DOM = Organisk stoff fordøyd, g/kg tørrstoff</t>
  </si>
  <si>
    <t>OMD = organisk stoff fordøyd, %</t>
  </si>
  <si>
    <t>DOM = (1000-aske)*OMD*0,01</t>
  </si>
  <si>
    <t>OE = omsettelig ergi, MJ/kg tørrstoff</t>
  </si>
  <si>
    <t>OE = DOM*15*0,001</t>
  </si>
  <si>
    <t>NEL = nettoenergi laktasjon, MJ/kg tørrstoff</t>
  </si>
  <si>
    <t>NEL, kJ per kg tørrstoff = 0,60 * (1+ 0,004*(100*(OE/BE))-57)*0,9752*OE</t>
  </si>
  <si>
    <t>FEm = Fôrenheter melk per kg tørrstoff</t>
  </si>
  <si>
    <t>FEm, per kg tørrstoff = NEL/6,9</t>
  </si>
  <si>
    <t>CHO = karbohydrater, g/kg tørrstoff</t>
  </si>
  <si>
    <t>RCHO = rest karbohydrater, g/kg tørrstoff</t>
  </si>
  <si>
    <t>RCHO= 1000-aske-råfett-råprotein-NDF</t>
  </si>
  <si>
    <t>DRCHO = fordøyeligheten av restkarbohydrater, g/kg TS</t>
  </si>
  <si>
    <t>DRCHO = RCHO*0,776</t>
  </si>
  <si>
    <t>OMD = fordøyeligheten av organisk stoff, %</t>
  </si>
  <si>
    <t>NDF = NDF, g/kg tørrstoff</t>
  </si>
  <si>
    <t>DNDF= NDF fordøyd</t>
  </si>
  <si>
    <t>DNDF=-557+0,8156*NDF+7*OMD</t>
  </si>
  <si>
    <t>DCHO=fordøyeligheten av karbohydrater, g/kg tørrstoff</t>
  </si>
  <si>
    <t>DCHO = DRCHO+DNDF</t>
  </si>
  <si>
    <t xml:space="preserve">AATm=AATmikrobeprotein, g/kg tørrstoff </t>
  </si>
  <si>
    <t>AATm=DCHO*0,1065</t>
  </si>
  <si>
    <t>NGP = effektiv nedbryting av råprotein, %</t>
  </si>
  <si>
    <t>NGP = 56,8+1,43*Råprotein</t>
  </si>
  <si>
    <t>UCP =( 168-1,62*råprotein+0,0043*Råprotein_kvadrert+0,038*NDF)*0,1</t>
  </si>
  <si>
    <t>AATINP = AAT fra ikke nedbrutt protein</t>
  </si>
  <si>
    <t>AATINP = Råprotein*((100-NGP)*0,01*0,65*((100-NGP)-UCP)/(100-NGP))</t>
  </si>
  <si>
    <t>AAT, g/kg tørrstoff</t>
  </si>
  <si>
    <t>AAT = AATm+AATINP</t>
  </si>
  <si>
    <t>Beregning av fordøyeligekarbohydrater</t>
  </si>
  <si>
    <t xml:space="preserve">I AAT-PBV systemet beregnes AAT fra mikrobeprotein ut fra fordøyelige karbohydrater. Opprinnelig ble karbohydrater beregnet ut fra innhold av råtrevler og nitrogenfrie ekstraktstoffer (NFE). </t>
  </si>
  <si>
    <t xml:space="preserve">I NFE inngår også gjæringsprodukter i surfôr.  Siden vi ikke analyserer for råtrevler må innholdet av karbohydrater beregnes på en annen måte. </t>
  </si>
  <si>
    <t>Råprotein, g/kg tørrstoff</t>
  </si>
  <si>
    <t>PBV, g/kg tørrstoff</t>
  </si>
  <si>
    <t>PBV=-144,6+råprotein*1,13</t>
  </si>
  <si>
    <t xml:space="preserve">PBV beregnes direkte ut fra innholdet av råprotein. </t>
  </si>
  <si>
    <t>For surfôr benyttes ligningen beskrevet nedenfor</t>
  </si>
  <si>
    <t>Beregning av energi i surfôr basert på TINE Grovfôranalyse</t>
  </si>
  <si>
    <t>UCP=Ufordøyelig protein</t>
  </si>
  <si>
    <t>Legg inn TINE analyseverdiar i dei gule cellene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</si>
</sst>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_ ;_ * \-#,##0_ ;_ * &quot;-&quot;_ ;_ @_ "/>
    <numFmt numFmtId="165" formatCode="_ * #,##0.00_ ;_ * \-#,##0.00_ ;_ * &quot;-&quot;??_ ;_ @_ "/>
    <numFmt numFmtId="166" formatCode="0.0\ %"/>
    <numFmt numFmtId="167" formatCode="0.0"/>
    <numFmt numFmtId="168" formatCode="&quot;kr&quot;\ #,##0.00"/>
    <numFmt numFmtId="169" formatCode="_ * #,##0.0_ ;_ * \-#,##0.0_ ;_ * &quot;-&quot;_ ;_ @_ "/>
    <numFmt numFmtId="170" formatCode="_ * #,##0_ ;_ * \-#,##0_ ;_ * &quot;-&quot;??_ ;_ @_ "/>
    <numFmt numFmtId="171" formatCode="_ * #,##0_ ;_ * \-#,##0_ ;_ * &quot;-&quot;?_ ;_ @_ "/>
    <numFmt numFmtId="172" formatCode="d/m/yy;@"/>
    <numFmt numFmtId="173" formatCode="0.000"/>
  </numFmts>
  <fonts count="70" x14ac:knownFonts="1">
    <font>
      <sz val="11"/>
      <color theme="1"/>
      <name val="Calibri"/>
      <family val="2"/>
      <scheme val="minor"/>
    </font>
    <font>
      <sz val="11"/>
      <color theme="1"/>
      <name val="Calibri"/>
      <family val="2"/>
      <scheme val="minor"/>
    </font>
    <font>
      <b/>
      <sz val="12"/>
      <color indexed="81"/>
      <name val="Tahoma"/>
      <family val="2"/>
    </font>
    <font>
      <sz val="12"/>
      <color indexed="81"/>
      <name val="Tahoma"/>
      <family val="2"/>
    </font>
    <font>
      <sz val="22"/>
      <color theme="1"/>
      <name val="Calibri"/>
      <family val="2"/>
      <scheme val="minor"/>
    </font>
    <font>
      <b/>
      <sz val="22"/>
      <color theme="4"/>
      <name val="Calibri"/>
      <family val="2"/>
      <scheme val="minor"/>
    </font>
    <font>
      <sz val="10"/>
      <name val="Arial"/>
      <family val="2"/>
    </font>
    <font>
      <b/>
      <sz val="14"/>
      <color theme="4"/>
      <name val="Arial"/>
      <family val="2"/>
    </font>
    <font>
      <b/>
      <sz val="18"/>
      <color theme="1"/>
      <name val="Arial"/>
      <family val="2"/>
    </font>
    <font>
      <sz val="18"/>
      <name val="Arial"/>
      <family val="2"/>
    </font>
    <font>
      <b/>
      <u/>
      <sz val="18"/>
      <name val="Arial"/>
      <family val="2"/>
    </font>
    <font>
      <b/>
      <sz val="18"/>
      <name val="Arial"/>
      <family val="2"/>
    </font>
    <font>
      <b/>
      <sz val="11"/>
      <color theme="4"/>
      <name val="Calibri"/>
      <family val="2"/>
      <scheme val="minor"/>
    </font>
    <font>
      <b/>
      <sz val="11"/>
      <color theme="1"/>
      <name val="Calibri"/>
      <family val="2"/>
      <scheme val="minor"/>
    </font>
    <font>
      <sz val="11"/>
      <name val="Calibri"/>
      <family val="2"/>
      <scheme val="minor"/>
    </font>
    <font>
      <b/>
      <sz val="11"/>
      <name val="Calibri"/>
      <family val="2"/>
      <scheme val="minor"/>
    </font>
    <font>
      <sz val="10"/>
      <color theme="1"/>
      <name val="Arial"/>
      <family val="2"/>
    </font>
    <font>
      <b/>
      <sz val="11"/>
      <color rgb="FF0070C0"/>
      <name val="Calibri"/>
      <family val="2"/>
      <scheme val="minor"/>
    </font>
    <font>
      <b/>
      <sz val="11"/>
      <color theme="3"/>
      <name val="Calibri"/>
      <family val="2"/>
      <scheme val="minor"/>
    </font>
    <font>
      <b/>
      <sz val="10"/>
      <color theme="3"/>
      <name val="Arial"/>
      <family val="2"/>
    </font>
    <font>
      <b/>
      <sz val="22"/>
      <color theme="3"/>
      <name val="Calibri"/>
      <family val="2"/>
      <scheme val="minor"/>
    </font>
    <font>
      <b/>
      <sz val="22"/>
      <color rgb="FF0070C0"/>
      <name val="Calibri"/>
      <family val="2"/>
      <scheme val="minor"/>
    </font>
    <font>
      <sz val="16"/>
      <color theme="1"/>
      <name val="Calibri"/>
      <family val="2"/>
      <scheme val="minor"/>
    </font>
    <font>
      <sz val="11"/>
      <color theme="6"/>
      <name val="Calibri"/>
      <family val="2"/>
      <scheme val="minor"/>
    </font>
    <font>
      <sz val="12"/>
      <color theme="1"/>
      <name val="Calibri"/>
      <family val="2"/>
      <scheme val="minor"/>
    </font>
    <font>
      <sz val="18"/>
      <color theme="1"/>
      <name val="Calibri"/>
      <family val="2"/>
      <scheme val="minor"/>
    </font>
    <font>
      <sz val="22"/>
      <name val="Calibri"/>
      <family val="2"/>
      <scheme val="minor"/>
    </font>
    <font>
      <b/>
      <sz val="22"/>
      <name val="Calibri"/>
      <family val="2"/>
      <scheme val="minor"/>
    </font>
    <font>
      <b/>
      <sz val="22"/>
      <color indexed="12"/>
      <name val="Calibri"/>
      <family val="2"/>
      <scheme val="minor"/>
    </font>
    <font>
      <sz val="12"/>
      <name val="Arial"/>
      <family val="2"/>
    </font>
    <font>
      <b/>
      <sz val="12"/>
      <color theme="4"/>
      <name val="Arial"/>
      <family val="2"/>
    </font>
    <font>
      <b/>
      <sz val="12"/>
      <color rgb="FF0070C0"/>
      <name val="Arial"/>
      <family val="2"/>
    </font>
    <font>
      <b/>
      <sz val="12"/>
      <name val="Arial"/>
      <family val="2"/>
    </font>
    <font>
      <b/>
      <sz val="10"/>
      <color theme="4"/>
      <name val="Arial"/>
      <family val="2"/>
    </font>
    <font>
      <b/>
      <sz val="20"/>
      <color theme="1"/>
      <name val="Calibri"/>
      <family val="2"/>
      <scheme val="minor"/>
    </font>
    <font>
      <b/>
      <sz val="22"/>
      <color theme="1"/>
      <name val="Calibri"/>
      <family val="2"/>
      <scheme val="minor"/>
    </font>
    <font>
      <sz val="11"/>
      <color rgb="FF7030A0"/>
      <name val="Calibri"/>
      <family val="2"/>
      <scheme val="minor"/>
    </font>
    <font>
      <b/>
      <sz val="11"/>
      <color rgb="FF7030A0"/>
      <name val="Calibri"/>
      <family val="2"/>
      <scheme val="minor"/>
    </font>
    <font>
      <sz val="14"/>
      <name val="Arial"/>
      <family val="2"/>
    </font>
    <font>
      <sz val="14"/>
      <color theme="1"/>
      <name val="Calibri"/>
      <family val="2"/>
      <scheme val="minor"/>
    </font>
    <font>
      <b/>
      <sz val="14"/>
      <color theme="3"/>
      <name val="Calibri"/>
      <family val="2"/>
      <scheme val="minor"/>
    </font>
    <font>
      <b/>
      <sz val="14"/>
      <name val="Calibri"/>
      <family val="2"/>
      <scheme val="minor"/>
    </font>
    <font>
      <sz val="20"/>
      <color theme="1"/>
      <name val="Calibri"/>
      <family val="2"/>
      <scheme val="minor"/>
    </font>
    <font>
      <sz val="12"/>
      <name val="Calibri"/>
      <family val="2"/>
      <scheme val="minor"/>
    </font>
    <font>
      <sz val="11"/>
      <color theme="5"/>
      <name val="Calibri"/>
      <family val="2"/>
      <scheme val="minor"/>
    </font>
    <font>
      <b/>
      <sz val="11"/>
      <color theme="5"/>
      <name val="Calibri"/>
      <family val="2"/>
      <scheme val="minor"/>
    </font>
    <font>
      <b/>
      <vertAlign val="superscript"/>
      <sz val="11"/>
      <color theme="1"/>
      <name val="Calibri"/>
      <family val="2"/>
      <scheme val="minor"/>
    </font>
    <font>
      <sz val="8"/>
      <color indexed="81"/>
      <name val="Tahoma"/>
      <family val="2"/>
    </font>
    <font>
      <b/>
      <sz val="8"/>
      <color indexed="81"/>
      <name val="Tahoma"/>
      <family val="2"/>
    </font>
    <font>
      <b/>
      <sz val="11"/>
      <color rgb="FFC00000"/>
      <name val="Calibri"/>
      <family val="2"/>
      <scheme val="minor"/>
    </font>
    <font>
      <sz val="12"/>
      <name val="Helvetica"/>
      <family val="2"/>
    </font>
    <font>
      <sz val="12"/>
      <name val="Helv"/>
    </font>
    <font>
      <b/>
      <sz val="10"/>
      <color rgb="FF993300"/>
      <name val="Arial"/>
      <family val="2"/>
    </font>
    <font>
      <sz val="12"/>
      <color rgb="FF993300"/>
      <name val="Arial"/>
      <family val="2"/>
    </font>
    <font>
      <sz val="12"/>
      <color rgb="FF800000"/>
      <name val="Arial"/>
      <family val="2"/>
    </font>
    <font>
      <sz val="12"/>
      <color rgb="FFC00000"/>
      <name val="Arial"/>
      <family val="2"/>
    </font>
    <font>
      <b/>
      <sz val="10"/>
      <color rgb="FF0000FF"/>
      <name val="Arial"/>
      <family val="2"/>
    </font>
    <font>
      <sz val="12"/>
      <color rgb="FF0000FF"/>
      <name val="Arial"/>
      <family val="2"/>
    </font>
    <font>
      <b/>
      <sz val="10"/>
      <name val="Arial"/>
      <family val="2"/>
    </font>
    <font>
      <b/>
      <sz val="16"/>
      <color theme="1"/>
      <name val="Calibri"/>
      <family val="2"/>
      <scheme val="minor"/>
    </font>
    <font>
      <b/>
      <sz val="16"/>
      <color rgb="FF00B050"/>
      <name val="Calibri"/>
      <family val="2"/>
      <scheme val="minor"/>
    </font>
    <font>
      <b/>
      <sz val="16"/>
      <color theme="9"/>
      <name val="Calibri"/>
      <family val="2"/>
      <scheme val="minor"/>
    </font>
    <font>
      <b/>
      <sz val="12"/>
      <color theme="0" tint="-0.499984740745262"/>
      <name val="Arial"/>
      <family val="2"/>
    </font>
    <font>
      <b/>
      <sz val="12"/>
      <color rgb="FFFF0000"/>
      <name val="Arial"/>
      <family val="2"/>
    </font>
    <font>
      <sz val="12"/>
      <color theme="1"/>
      <name val="Arial"/>
      <family val="2"/>
    </font>
    <font>
      <b/>
      <sz val="12"/>
      <color theme="1"/>
      <name val="Arial"/>
      <family val="2"/>
    </font>
    <font>
      <b/>
      <sz val="12"/>
      <color rgb="FF7030A0"/>
      <name val="Arial"/>
      <family val="2"/>
    </font>
    <font>
      <sz val="11"/>
      <color theme="1"/>
      <name val="Arial"/>
      <family val="2"/>
    </font>
    <font>
      <vertAlign val="subscript"/>
      <sz val="12"/>
      <name val="Arial"/>
      <family val="2"/>
    </font>
    <font>
      <b/>
      <sz val="12"/>
      <color theme="1"/>
      <name val="Calibri"/>
      <family val="2"/>
      <scheme val="minor"/>
    </font>
  </fonts>
  <fills count="9">
    <fill>
      <patternFill patternType="none"/>
    </fill>
    <fill>
      <patternFill patternType="gray125"/>
    </fill>
    <fill>
      <patternFill patternType="solid">
        <fgColor indexed="15"/>
        <bgColor indexed="64"/>
      </patternFill>
    </fill>
    <fill>
      <patternFill patternType="solid">
        <fgColor theme="0"/>
        <bgColor indexed="64"/>
      </patternFill>
    </fill>
    <fill>
      <patternFill patternType="solid">
        <fgColor theme="6"/>
        <bgColor indexed="64"/>
      </patternFill>
    </fill>
    <fill>
      <patternFill patternType="solid">
        <fgColor theme="6" tint="-0.499984740745262"/>
        <bgColor indexed="64"/>
      </patternFill>
    </fill>
    <fill>
      <patternFill patternType="solid">
        <fgColor rgb="FFFFFF00"/>
        <bgColor indexed="64"/>
      </patternFill>
    </fill>
    <fill>
      <patternFill patternType="solid">
        <fgColor indexed="43"/>
        <bgColor indexed="64"/>
      </patternFill>
    </fill>
    <fill>
      <patternFill patternType="solid">
        <fgColor rgb="FFFFFF9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indexed="64"/>
      </top>
      <bottom style="thin">
        <color indexed="64"/>
      </bottom>
      <diagonal/>
    </border>
    <border>
      <left style="thin">
        <color auto="1"/>
      </left>
      <right style="thin">
        <color auto="1"/>
      </right>
      <top style="thin">
        <color auto="1"/>
      </top>
      <bottom style="thick">
        <color auto="1"/>
      </bottom>
      <diagonal/>
    </border>
    <border>
      <left style="thin">
        <color auto="1"/>
      </left>
      <right style="thin">
        <color auto="1"/>
      </right>
      <top/>
      <bottom style="thick">
        <color auto="1"/>
      </bottom>
      <diagonal/>
    </border>
    <border>
      <left style="thin">
        <color indexed="64"/>
      </left>
      <right/>
      <top/>
      <bottom style="thick">
        <color indexed="64"/>
      </bottom>
      <diagonal/>
    </border>
    <border>
      <left/>
      <right style="thin">
        <color indexed="64"/>
      </right>
      <top/>
      <bottom style="thick">
        <color indexed="64"/>
      </bottom>
      <diagonal/>
    </border>
    <border>
      <left style="medium">
        <color auto="1"/>
      </left>
      <right style="medium">
        <color auto="1"/>
      </right>
      <top style="thick">
        <color auto="1"/>
      </top>
      <bottom style="thin">
        <color indexed="64"/>
      </bottom>
      <diagonal/>
    </border>
    <border>
      <left style="medium">
        <color auto="1"/>
      </left>
      <right/>
      <top style="thick">
        <color auto="1"/>
      </top>
      <bottom style="thin">
        <color indexed="64"/>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right/>
      <top style="thick">
        <color indexed="64"/>
      </top>
      <bottom style="thin">
        <color indexed="64"/>
      </bottom>
      <diagonal/>
    </border>
    <border>
      <left style="thin">
        <color auto="1"/>
      </left>
      <right/>
      <top style="thick">
        <color auto="1"/>
      </top>
      <bottom/>
      <diagonal/>
    </border>
  </borders>
  <cellStyleXfs count="4">
    <xf numFmtId="0" fontId="0" fillId="0" borderId="0"/>
    <xf numFmtId="9" fontId="1" fillId="0" borderId="0" applyFont="0" applyFill="0" applyBorder="0" applyAlignment="0" applyProtection="0"/>
    <xf numFmtId="165" fontId="1" fillId="0" borderId="0" applyFont="0" applyFill="0" applyBorder="0" applyAlignment="0" applyProtection="0"/>
    <xf numFmtId="0" fontId="51" fillId="0" borderId="0"/>
  </cellStyleXfs>
  <cellXfs count="503">
    <xf numFmtId="0" fontId="0" fillId="0" borderId="0" xfId="0"/>
    <xf numFmtId="0" fontId="4" fillId="0" borderId="6" xfId="0" applyFont="1" applyBorder="1"/>
    <xf numFmtId="0" fontId="4" fillId="0" borderId="7" xfId="0" applyFont="1" applyBorder="1"/>
    <xf numFmtId="49" fontId="4" fillId="0" borderId="1" xfId="0" applyNumberFormat="1" applyFont="1" applyBorder="1" applyAlignment="1">
      <alignment horizontal="right"/>
    </xf>
    <xf numFmtId="1" fontId="4" fillId="0" borderId="9" xfId="0" applyNumberFormat="1" applyFont="1" applyBorder="1"/>
    <xf numFmtId="1" fontId="4" fillId="0" borderId="4" xfId="0" applyNumberFormat="1" applyFont="1" applyBorder="1"/>
    <xf numFmtId="1" fontId="4" fillId="0" borderId="2" xfId="0" applyNumberFormat="1" applyFont="1" applyBorder="1"/>
    <xf numFmtId="2" fontId="4" fillId="0" borderId="9" xfId="0" applyNumberFormat="1" applyFont="1" applyBorder="1"/>
    <xf numFmtId="2" fontId="4" fillId="0" borderId="5" xfId="0" applyNumberFormat="1" applyFont="1" applyBorder="1"/>
    <xf numFmtId="2" fontId="4" fillId="0" borderId="13" xfId="0" applyNumberFormat="1" applyFont="1" applyBorder="1"/>
    <xf numFmtId="2" fontId="4" fillId="0" borderId="10" xfId="0" applyNumberFormat="1" applyFont="1" applyBorder="1"/>
    <xf numFmtId="2" fontId="4" fillId="0" borderId="0" xfId="0" applyNumberFormat="1" applyFont="1"/>
    <xf numFmtId="2" fontId="4" fillId="0" borderId="14" xfId="0" applyNumberFormat="1" applyFont="1" applyBorder="1"/>
    <xf numFmtId="2" fontId="4" fillId="0" borderId="11" xfId="0" applyNumberFormat="1" applyFont="1" applyBorder="1"/>
    <xf numFmtId="2" fontId="4" fillId="0" borderId="12" xfId="0" applyNumberFormat="1" applyFont="1" applyBorder="1"/>
    <xf numFmtId="2" fontId="4" fillId="0" borderId="15" xfId="0" applyNumberFormat="1" applyFont="1" applyBorder="1"/>
    <xf numFmtId="0" fontId="4" fillId="0" borderId="4" xfId="0" applyFont="1" applyBorder="1"/>
    <xf numFmtId="0" fontId="4" fillId="0" borderId="1" xfId="0" applyFont="1" applyBorder="1"/>
    <xf numFmtId="0" fontId="4" fillId="0" borderId="2" xfId="0" applyFont="1" applyBorder="1"/>
    <xf numFmtId="0" fontId="4" fillId="0" borderId="3" xfId="0" applyFont="1" applyBorder="1"/>
    <xf numFmtId="0" fontId="4" fillId="0" borderId="11" xfId="0" applyFont="1" applyBorder="1"/>
    <xf numFmtId="0" fontId="4" fillId="0" borderId="8" xfId="0" applyFont="1" applyBorder="1"/>
    <xf numFmtId="2" fontId="4" fillId="0" borderId="6" xfId="0" applyNumberFormat="1" applyFont="1" applyBorder="1"/>
    <xf numFmtId="2" fontId="4" fillId="0" borderId="7" xfId="0" applyNumberFormat="1" applyFont="1" applyBorder="1"/>
    <xf numFmtId="1" fontId="4" fillId="0" borderId="6" xfId="0" applyNumberFormat="1" applyFont="1" applyBorder="1"/>
    <xf numFmtId="1" fontId="4" fillId="0" borderId="7" xfId="0" applyNumberFormat="1" applyFont="1" applyBorder="1"/>
    <xf numFmtId="0" fontId="0" fillId="0" borderId="8" xfId="0" applyBorder="1"/>
    <xf numFmtId="0" fontId="0" fillId="0" borderId="3" xfId="0" applyBorder="1"/>
    <xf numFmtId="0" fontId="0" fillId="0" borderId="11" xfId="0" applyBorder="1"/>
    <xf numFmtId="0" fontId="0" fillId="0" borderId="12" xfId="0" applyBorder="1"/>
    <xf numFmtId="0" fontId="0" fillId="0" borderId="7" xfId="0" applyBorder="1"/>
    <xf numFmtId="0" fontId="0" fillId="0" borderId="14" xfId="0" applyBorder="1"/>
    <xf numFmtId="0" fontId="0" fillId="0" borderId="6" xfId="0" applyBorder="1"/>
    <xf numFmtId="0" fontId="8" fillId="0" borderId="9" xfId="0" applyFont="1" applyBorder="1" applyAlignment="1">
      <alignment horizontal="left"/>
    </xf>
    <xf numFmtId="0" fontId="0" fillId="0" borderId="10" xfId="0" applyBorder="1"/>
    <xf numFmtId="0" fontId="7" fillId="3" borderId="5" xfId="0" applyFont="1" applyFill="1" applyBorder="1"/>
    <xf numFmtId="0" fontId="0" fillId="3" borderId="0" xfId="0" applyFill="1"/>
    <xf numFmtId="0" fontId="0" fillId="3" borderId="12" xfId="0" applyFill="1" applyBorder="1"/>
    <xf numFmtId="0" fontId="0" fillId="3" borderId="5" xfId="0" applyFill="1" applyBorder="1"/>
    <xf numFmtId="0" fontId="9" fillId="3" borderId="5" xfId="0" applyFont="1" applyFill="1" applyBorder="1"/>
    <xf numFmtId="0" fontId="6" fillId="3" borderId="5" xfId="0" applyFont="1" applyFill="1" applyBorder="1"/>
    <xf numFmtId="0" fontId="9" fillId="3" borderId="0" xfId="0" applyFont="1" applyFill="1"/>
    <xf numFmtId="0" fontId="9" fillId="3" borderId="13" xfId="0" applyFont="1" applyFill="1" applyBorder="1"/>
    <xf numFmtId="0" fontId="0" fillId="3" borderId="14" xfId="0" applyFill="1" applyBorder="1"/>
    <xf numFmtId="0" fontId="0" fillId="3" borderId="15" xfId="0" applyFill="1" applyBorder="1"/>
    <xf numFmtId="0" fontId="0" fillId="0" borderId="5" xfId="0" applyBorder="1"/>
    <xf numFmtId="167" fontId="0" fillId="0" borderId="0" xfId="0" applyNumberFormat="1"/>
    <xf numFmtId="0" fontId="0" fillId="0" borderId="15" xfId="0" applyBorder="1"/>
    <xf numFmtId="9" fontId="0" fillId="0" borderId="0" xfId="1" applyFont="1"/>
    <xf numFmtId="167" fontId="0" fillId="0" borderId="4" xfId="0" applyNumberFormat="1" applyBorder="1"/>
    <xf numFmtId="167" fontId="0" fillId="0" borderId="7" xfId="0" applyNumberFormat="1" applyBorder="1" applyAlignment="1">
      <alignment horizontal="right"/>
    </xf>
    <xf numFmtId="1" fontId="0" fillId="0" borderId="4" xfId="0" applyNumberFormat="1" applyBorder="1"/>
    <xf numFmtId="167" fontId="0" fillId="0" borderId="7" xfId="0" applyNumberFormat="1" applyBorder="1"/>
    <xf numFmtId="0" fontId="0" fillId="0" borderId="1" xfId="0" applyBorder="1"/>
    <xf numFmtId="0" fontId="0" fillId="0" borderId="9" xfId="0" applyBorder="1"/>
    <xf numFmtId="0" fontId="0" fillId="0" borderId="13" xfId="0" applyBorder="1"/>
    <xf numFmtId="0" fontId="13" fillId="0" borderId="5" xfId="0" applyFont="1" applyBorder="1"/>
    <xf numFmtId="0" fontId="13" fillId="0" borderId="0" xfId="0" applyFont="1"/>
    <xf numFmtId="0" fontId="13" fillId="0" borderId="2" xfId="0" applyFont="1" applyBorder="1"/>
    <xf numFmtId="0" fontId="13" fillId="0" borderId="8" xfId="0" applyFont="1" applyBorder="1"/>
    <xf numFmtId="14" fontId="13" fillId="0" borderId="8" xfId="0" applyNumberFormat="1" applyFont="1" applyBorder="1"/>
    <xf numFmtId="14" fontId="13" fillId="0" borderId="3" xfId="0" applyNumberFormat="1" applyFont="1" applyBorder="1"/>
    <xf numFmtId="0" fontId="0" fillId="4" borderId="0" xfId="0" applyFill="1"/>
    <xf numFmtId="167" fontId="0" fillId="4" borderId="0" xfId="0" applyNumberFormat="1" applyFill="1" applyAlignment="1">
      <alignment horizontal="right"/>
    </xf>
    <xf numFmtId="167" fontId="0" fillId="4" borderId="0" xfId="0" applyNumberFormat="1" applyFill="1"/>
    <xf numFmtId="167" fontId="0" fillId="0" borderId="11" xfId="0" applyNumberFormat="1" applyBorder="1"/>
    <xf numFmtId="0" fontId="13" fillId="0" borderId="9" xfId="0" applyFont="1" applyBorder="1"/>
    <xf numFmtId="0" fontId="13" fillId="0" borderId="10" xfId="0" applyFont="1" applyBorder="1"/>
    <xf numFmtId="2" fontId="0" fillId="4" borderId="0" xfId="0" applyNumberFormat="1" applyFill="1" applyAlignment="1">
      <alignment horizontal="right"/>
    </xf>
    <xf numFmtId="0" fontId="0" fillId="0" borderId="2" xfId="0" applyBorder="1"/>
    <xf numFmtId="167" fontId="0" fillId="0" borderId="10" xfId="0" applyNumberFormat="1" applyBorder="1"/>
    <xf numFmtId="1" fontId="0" fillId="0" borderId="11" xfId="0" applyNumberFormat="1" applyBorder="1"/>
    <xf numFmtId="167" fontId="0" fillId="0" borderId="13" xfId="0" applyNumberFormat="1" applyBorder="1"/>
    <xf numFmtId="167" fontId="0" fillId="0" borderId="14" xfId="0" applyNumberFormat="1" applyBorder="1"/>
    <xf numFmtId="1" fontId="0" fillId="0" borderId="15" xfId="0" applyNumberFormat="1" applyBorder="1"/>
    <xf numFmtId="164" fontId="0" fillId="0" borderId="11" xfId="0" applyNumberFormat="1" applyBorder="1"/>
    <xf numFmtId="164" fontId="0" fillId="0" borderId="12" xfId="0" applyNumberFormat="1" applyBorder="1"/>
    <xf numFmtId="1" fontId="0" fillId="0" borderId="14" xfId="0" applyNumberFormat="1" applyBorder="1"/>
    <xf numFmtId="0" fontId="22" fillId="0" borderId="5" xfId="0" applyFont="1" applyBorder="1"/>
    <xf numFmtId="0" fontId="22" fillId="0" borderId="13" xfId="0" applyFont="1" applyBorder="1"/>
    <xf numFmtId="14" fontId="0" fillId="0" borderId="3" xfId="0" applyNumberFormat="1" applyBorder="1"/>
    <xf numFmtId="0" fontId="0" fillId="4" borderId="14" xfId="0" applyFill="1" applyBorder="1"/>
    <xf numFmtId="14" fontId="13" fillId="0" borderId="12" xfId="0" applyNumberFormat="1" applyFont="1" applyBorder="1"/>
    <xf numFmtId="14" fontId="13" fillId="0" borderId="10" xfId="0" applyNumberFormat="1" applyFont="1" applyBorder="1"/>
    <xf numFmtId="14" fontId="13" fillId="0" borderId="11" xfId="0" applyNumberFormat="1" applyFont="1" applyBorder="1"/>
    <xf numFmtId="0" fontId="13" fillId="0" borderId="12" xfId="0" applyFont="1" applyBorder="1"/>
    <xf numFmtId="1" fontId="0" fillId="4" borderId="0" xfId="0" applyNumberFormat="1" applyFill="1"/>
    <xf numFmtId="1" fontId="4" fillId="0" borderId="1" xfId="0" applyNumberFormat="1" applyFont="1" applyBorder="1"/>
    <xf numFmtId="0" fontId="24" fillId="0" borderId="0" xfId="0" applyFont="1"/>
    <xf numFmtId="0" fontId="25" fillId="0" borderId="0" xfId="0" applyFont="1"/>
    <xf numFmtId="0" fontId="26" fillId="0" borderId="1" xfId="0" applyFont="1" applyBorder="1"/>
    <xf numFmtId="0" fontId="26" fillId="0" borderId="4" xfId="0" applyFont="1" applyBorder="1"/>
    <xf numFmtId="0" fontId="26" fillId="0" borderId="6" xfId="0" applyFont="1" applyBorder="1"/>
    <xf numFmtId="1" fontId="26" fillId="0" borderId="6" xfId="0" applyNumberFormat="1" applyFont="1" applyBorder="1" applyAlignment="1">
      <alignment horizontal="center"/>
    </xf>
    <xf numFmtId="14" fontId="26" fillId="0" borderId="6" xfId="0" applyNumberFormat="1" applyFont="1" applyBorder="1"/>
    <xf numFmtId="0" fontId="26" fillId="0" borderId="7" xfId="0" applyFont="1" applyBorder="1"/>
    <xf numFmtId="1" fontId="26" fillId="0" borderId="7" xfId="0" applyNumberFormat="1" applyFont="1" applyBorder="1" applyAlignment="1">
      <alignment horizontal="center"/>
    </xf>
    <xf numFmtId="0" fontId="26" fillId="2" borderId="0" xfId="0" applyFont="1" applyFill="1"/>
    <xf numFmtId="1" fontId="26" fillId="0" borderId="1" xfId="0" applyNumberFormat="1" applyFont="1" applyBorder="1"/>
    <xf numFmtId="0" fontId="27" fillId="2" borderId="0" xfId="0" applyFont="1" applyFill="1"/>
    <xf numFmtId="0" fontId="4" fillId="2" borderId="0" xfId="0" applyFont="1" applyFill="1"/>
    <xf numFmtId="0" fontId="27" fillId="0" borderId="1" xfId="0" applyFont="1" applyBorder="1"/>
    <xf numFmtId="0" fontId="26" fillId="0" borderId="9" xfId="0" applyFont="1" applyBorder="1"/>
    <xf numFmtId="0" fontId="26" fillId="0" borderId="3" xfId="0" applyFont="1" applyBorder="1"/>
    <xf numFmtId="0" fontId="27" fillId="0" borderId="2" xfId="0" applyFont="1" applyBorder="1"/>
    <xf numFmtId="0" fontId="27" fillId="0" borderId="8" xfId="0" applyFont="1" applyBorder="1"/>
    <xf numFmtId="0" fontId="27" fillId="0" borderId="3" xfId="0" applyFont="1" applyBorder="1"/>
    <xf numFmtId="2" fontId="27" fillId="0" borderId="1" xfId="0" applyNumberFormat="1" applyFont="1" applyBorder="1"/>
    <xf numFmtId="1" fontId="27" fillId="0" borderId="1" xfId="0" applyNumberFormat="1" applyFont="1" applyBorder="1"/>
    <xf numFmtId="0" fontId="28" fillId="2" borderId="0" xfId="0" applyFont="1" applyFill="1"/>
    <xf numFmtId="2" fontId="26" fillId="0" borderId="4" xfId="0" applyNumberFormat="1" applyFont="1" applyBorder="1"/>
    <xf numFmtId="1" fontId="26" fillId="0" borderId="4" xfId="0" applyNumberFormat="1" applyFont="1" applyBorder="1"/>
    <xf numFmtId="2" fontId="26" fillId="0" borderId="7" xfId="0" applyNumberFormat="1" applyFont="1" applyBorder="1"/>
    <xf numFmtId="2" fontId="26" fillId="0" borderId="1" xfId="0" applyNumberFormat="1" applyFont="1" applyBorder="1"/>
    <xf numFmtId="0" fontId="4" fillId="0" borderId="9" xfId="0" applyFont="1" applyBorder="1"/>
    <xf numFmtId="167" fontId="4" fillId="0" borderId="1" xfId="0" applyNumberFormat="1" applyFont="1" applyBorder="1"/>
    <xf numFmtId="1" fontId="4" fillId="0" borderId="11" xfId="0" applyNumberFormat="1" applyFont="1" applyBorder="1"/>
    <xf numFmtId="0" fontId="24" fillId="2" borderId="0" xfId="0" applyFont="1" applyFill="1"/>
    <xf numFmtId="0" fontId="24" fillId="2" borderId="8" xfId="0" applyFont="1" applyFill="1" applyBorder="1"/>
    <xf numFmtId="0" fontId="29" fillId="0" borderId="1" xfId="0" applyFont="1" applyBorder="1"/>
    <xf numFmtId="0" fontId="29" fillId="0" borderId="5" xfId="0" applyFont="1" applyBorder="1"/>
    <xf numFmtId="1" fontId="32" fillId="0" borderId="4" xfId="0" applyNumberFormat="1" applyFont="1" applyBorder="1"/>
    <xf numFmtId="1" fontId="32" fillId="0" borderId="6" xfId="0" applyNumberFormat="1" applyFont="1" applyBorder="1"/>
    <xf numFmtId="0" fontId="32" fillId="0" borderId="14" xfId="0" applyFont="1" applyBorder="1"/>
    <xf numFmtId="1" fontId="32" fillId="0" borderId="7" xfId="0" applyNumberFormat="1" applyFont="1" applyBorder="1"/>
    <xf numFmtId="2" fontId="0" fillId="0" borderId="0" xfId="0" applyNumberFormat="1"/>
    <xf numFmtId="1" fontId="0" fillId="0" borderId="12" xfId="0" applyNumberFormat="1" applyBorder="1"/>
    <xf numFmtId="169" fontId="0" fillId="0" borderId="10" xfId="0" applyNumberFormat="1" applyBorder="1"/>
    <xf numFmtId="1" fontId="0" fillId="0" borderId="10" xfId="0" applyNumberFormat="1" applyBorder="1"/>
    <xf numFmtId="14" fontId="0" fillId="0" borderId="8" xfId="0" applyNumberFormat="1" applyBorder="1"/>
    <xf numFmtId="0" fontId="0" fillId="4" borderId="10" xfId="0" applyFill="1" applyBorder="1"/>
    <xf numFmtId="164" fontId="0" fillId="0" borderId="15" xfId="0" applyNumberFormat="1" applyBorder="1"/>
    <xf numFmtId="167" fontId="0" fillId="0" borderId="12" xfId="0" applyNumberFormat="1" applyBorder="1"/>
    <xf numFmtId="167" fontId="0" fillId="0" borderId="15" xfId="0" applyNumberFormat="1" applyBorder="1"/>
    <xf numFmtId="1" fontId="0" fillId="0" borderId="8" xfId="0" applyNumberFormat="1" applyBorder="1"/>
    <xf numFmtId="1" fontId="0" fillId="0" borderId="3" xfId="0" applyNumberFormat="1" applyBorder="1"/>
    <xf numFmtId="164" fontId="0" fillId="0" borderId="3" xfId="0" applyNumberFormat="1" applyBorder="1"/>
    <xf numFmtId="0" fontId="4" fillId="0" borderId="5" xfId="0" applyFont="1" applyBorder="1"/>
    <xf numFmtId="0" fontId="4" fillId="0" borderId="12" xfId="0" applyFont="1" applyBorder="1"/>
    <xf numFmtId="0" fontId="4" fillId="0" borderId="13" xfId="0" applyFont="1" applyBorder="1"/>
    <xf numFmtId="49" fontId="4" fillId="0" borderId="7" xfId="0" applyNumberFormat="1" applyFont="1" applyBorder="1" applyAlignment="1">
      <alignment horizontal="right"/>
    </xf>
    <xf numFmtId="2" fontId="26" fillId="0" borderId="13" xfId="0" applyNumberFormat="1" applyFont="1" applyBorder="1"/>
    <xf numFmtId="1" fontId="26" fillId="0" borderId="14" xfId="0" applyNumberFormat="1" applyFont="1" applyBorder="1"/>
    <xf numFmtId="1" fontId="4" fillId="0" borderId="15" xfId="0" applyNumberFormat="1" applyFont="1" applyBorder="1"/>
    <xf numFmtId="0" fontId="29" fillId="0" borderId="7" xfId="0" applyFont="1" applyBorder="1"/>
    <xf numFmtId="168" fontId="16" fillId="0" borderId="1" xfId="0" applyNumberFormat="1" applyFont="1" applyBorder="1"/>
    <xf numFmtId="10" fontId="16" fillId="0" borderId="1" xfId="0" applyNumberFormat="1" applyFont="1" applyBorder="1"/>
    <xf numFmtId="3" fontId="16" fillId="0" borderId="1" xfId="0" applyNumberFormat="1" applyFont="1" applyBorder="1"/>
    <xf numFmtId="4" fontId="16" fillId="0" borderId="1" xfId="0" applyNumberFormat="1" applyFont="1" applyBorder="1"/>
    <xf numFmtId="0" fontId="14" fillId="0" borderId="1" xfId="0" applyFont="1" applyBorder="1"/>
    <xf numFmtId="166" fontId="16" fillId="0" borderId="1" xfId="0" applyNumberFormat="1" applyFont="1" applyBorder="1"/>
    <xf numFmtId="1" fontId="16" fillId="0" borderId="1" xfId="0" applyNumberFormat="1" applyFont="1" applyBorder="1"/>
    <xf numFmtId="0" fontId="0" fillId="0" borderId="4" xfId="0" applyBorder="1"/>
    <xf numFmtId="0" fontId="14" fillId="0" borderId="2" xfId="0" applyFont="1" applyBorder="1"/>
    <xf numFmtId="0" fontId="15" fillId="0" borderId="1" xfId="0" applyFont="1" applyBorder="1"/>
    <xf numFmtId="0" fontId="13" fillId="0" borderId="1" xfId="0" applyFont="1" applyBorder="1"/>
    <xf numFmtId="2" fontId="0" fillId="0" borderId="1" xfId="0" applyNumberFormat="1" applyBorder="1"/>
    <xf numFmtId="167" fontId="0" fillId="0" borderId="1" xfId="0" applyNumberFormat="1" applyBorder="1"/>
    <xf numFmtId="1" fontId="0" fillId="0" borderId="1" xfId="0" applyNumberFormat="1" applyBorder="1"/>
    <xf numFmtId="0" fontId="12" fillId="0" borderId="1" xfId="0" applyFont="1" applyBorder="1"/>
    <xf numFmtId="168" fontId="0" fillId="0" borderId="1" xfId="0" applyNumberFormat="1" applyBorder="1"/>
    <xf numFmtId="2" fontId="13" fillId="0" borderId="1" xfId="0" applyNumberFormat="1" applyFont="1" applyBorder="1"/>
    <xf numFmtId="167" fontId="13" fillId="0" borderId="1" xfId="0" applyNumberFormat="1" applyFont="1" applyBorder="1"/>
    <xf numFmtId="1" fontId="13" fillId="0" borderId="1" xfId="0" applyNumberFormat="1" applyFont="1" applyBorder="1"/>
    <xf numFmtId="0" fontId="0" fillId="0" borderId="16" xfId="0" applyBorder="1"/>
    <xf numFmtId="0" fontId="0" fillId="0" borderId="19" xfId="0" applyBorder="1"/>
    <xf numFmtId="1" fontId="6" fillId="0" borderId="21" xfId="0" applyNumberFormat="1" applyFont="1" applyBorder="1"/>
    <xf numFmtId="1" fontId="0" fillId="0" borderId="0" xfId="0" applyNumberFormat="1"/>
    <xf numFmtId="168" fontId="0" fillId="0" borderId="0" xfId="0" applyNumberFormat="1"/>
    <xf numFmtId="0" fontId="0" fillId="0" borderId="23" xfId="0" applyBorder="1"/>
    <xf numFmtId="14" fontId="13" fillId="0" borderId="0" xfId="0" applyNumberFormat="1" applyFont="1"/>
    <xf numFmtId="0" fontId="0" fillId="0" borderId="25" xfId="0" applyBorder="1"/>
    <xf numFmtId="14" fontId="0" fillId="0" borderId="1" xfId="0" applyNumberFormat="1" applyBorder="1"/>
    <xf numFmtId="0" fontId="0" fillId="0" borderId="27" xfId="0" applyBorder="1"/>
    <xf numFmtId="14" fontId="0" fillId="0" borderId="7" xfId="0" applyNumberFormat="1" applyBorder="1"/>
    <xf numFmtId="0" fontId="13" fillId="0" borderId="26" xfId="0" applyFont="1" applyBorder="1"/>
    <xf numFmtId="1" fontId="6" fillId="0" borderId="28" xfId="0" applyNumberFormat="1" applyFont="1" applyBorder="1"/>
    <xf numFmtId="0" fontId="13" fillId="0" borderId="4" xfId="0" applyFont="1" applyBorder="1"/>
    <xf numFmtId="168" fontId="13" fillId="0" borderId="13" xfId="0" applyNumberFormat="1" applyFont="1" applyBorder="1"/>
    <xf numFmtId="14" fontId="13" fillId="0" borderId="1" xfId="0" applyNumberFormat="1" applyFont="1" applyBorder="1"/>
    <xf numFmtId="1" fontId="0" fillId="0" borderId="1" xfId="1" applyNumberFormat="1" applyFont="1" applyBorder="1"/>
    <xf numFmtId="0" fontId="0" fillId="0" borderId="30" xfId="0" applyBorder="1"/>
    <xf numFmtId="168" fontId="0" fillId="0" borderId="9" xfId="0" applyNumberFormat="1" applyBorder="1"/>
    <xf numFmtId="168" fontId="0" fillId="0" borderId="31" xfId="0" applyNumberFormat="1" applyBorder="1"/>
    <xf numFmtId="167" fontId="0" fillId="0" borderId="32" xfId="0" applyNumberFormat="1" applyBorder="1"/>
    <xf numFmtId="14" fontId="0" fillId="0" borderId="4" xfId="0" applyNumberFormat="1" applyBorder="1"/>
    <xf numFmtId="2" fontId="16" fillId="0" borderId="1" xfId="0" applyNumberFormat="1" applyFont="1" applyBorder="1"/>
    <xf numFmtId="2" fontId="0" fillId="0" borderId="1" xfId="0" applyNumberFormat="1" applyBorder="1" applyAlignment="1">
      <alignment horizontal="right"/>
    </xf>
    <xf numFmtId="0" fontId="0" fillId="0" borderId="29" xfId="0" applyBorder="1"/>
    <xf numFmtId="2" fontId="0" fillId="0" borderId="29" xfId="0" applyNumberFormat="1" applyBorder="1"/>
    <xf numFmtId="1" fontId="6" fillId="0" borderId="2" xfId="0" applyNumberFormat="1" applyFont="1" applyBorder="1"/>
    <xf numFmtId="0" fontId="34" fillId="0" borderId="26" xfId="0" applyFont="1" applyBorder="1"/>
    <xf numFmtId="0" fontId="34" fillId="0" borderId="34" xfId="0" applyFont="1" applyBorder="1"/>
    <xf numFmtId="0" fontId="13" fillId="0" borderId="33" xfId="0" applyFont="1" applyBorder="1"/>
    <xf numFmtId="0" fontId="0" fillId="0" borderId="35" xfId="0" applyBorder="1"/>
    <xf numFmtId="0" fontId="0" fillId="0" borderId="36" xfId="0" applyBorder="1"/>
    <xf numFmtId="166" fontId="16" fillId="0" borderId="3" xfId="0" applyNumberFormat="1" applyFont="1" applyBorder="1"/>
    <xf numFmtId="1" fontId="0" fillId="0" borderId="7" xfId="0" applyNumberFormat="1" applyBorder="1"/>
    <xf numFmtId="168" fontId="0" fillId="0" borderId="30" xfId="0" applyNumberFormat="1" applyBorder="1"/>
    <xf numFmtId="167" fontId="0" fillId="0" borderId="30" xfId="0" applyNumberFormat="1" applyBorder="1"/>
    <xf numFmtId="0" fontId="13" fillId="0" borderId="37" xfId="0" applyFont="1" applyBorder="1"/>
    <xf numFmtId="0" fontId="23" fillId="4" borderId="9" xfId="0" applyFont="1" applyFill="1" applyBorder="1"/>
    <xf numFmtId="0" fontId="23" fillId="4" borderId="10" xfId="0" applyFont="1" applyFill="1" applyBorder="1"/>
    <xf numFmtId="0" fontId="23" fillId="5" borderId="10" xfId="0" applyFont="1" applyFill="1" applyBorder="1"/>
    <xf numFmtId="0" fontId="0" fillId="4" borderId="5" xfId="0" applyFill="1" applyBorder="1"/>
    <xf numFmtId="0" fontId="0" fillId="5" borderId="0" xfId="0" applyFill="1"/>
    <xf numFmtId="0" fontId="0" fillId="4" borderId="12" xfId="0" applyFill="1" applyBorder="1"/>
    <xf numFmtId="0" fontId="22" fillId="4" borderId="0" xfId="0" applyFont="1" applyFill="1"/>
    <xf numFmtId="0" fontId="23" fillId="5" borderId="0" xfId="0" applyFont="1" applyFill="1"/>
    <xf numFmtId="0" fontId="23" fillId="4" borderId="0" xfId="0" applyFont="1" applyFill="1"/>
    <xf numFmtId="2" fontId="0" fillId="4" borderId="0" xfId="0" applyNumberFormat="1" applyFill="1"/>
    <xf numFmtId="0" fontId="24" fillId="0" borderId="9" xfId="0" applyFont="1" applyBorder="1"/>
    <xf numFmtId="0" fontId="24" fillId="0" borderId="10" xfId="0" applyFont="1" applyBorder="1"/>
    <xf numFmtId="0" fontId="24" fillId="0" borderId="11" xfId="0" applyFont="1" applyBorder="1"/>
    <xf numFmtId="0" fontId="24" fillId="0" borderId="5" xfId="0" applyFont="1" applyBorder="1"/>
    <xf numFmtId="0" fontId="24" fillId="0" borderId="12" xfId="0" applyFont="1" applyBorder="1"/>
    <xf numFmtId="0" fontId="24" fillId="0" borderId="13" xfId="0" applyFont="1" applyBorder="1"/>
    <xf numFmtId="0" fontId="24" fillId="0" borderId="14" xfId="0" applyFont="1" applyBorder="1"/>
    <xf numFmtId="0" fontId="24" fillId="0" borderId="15" xfId="0" applyFont="1" applyBorder="1"/>
    <xf numFmtId="171" fontId="0" fillId="0" borderId="0" xfId="0" applyNumberFormat="1"/>
    <xf numFmtId="0" fontId="13" fillId="0" borderId="13" xfId="0" applyFont="1" applyBorder="1"/>
    <xf numFmtId="164" fontId="0" fillId="0" borderId="14" xfId="0" applyNumberFormat="1" applyBorder="1"/>
    <xf numFmtId="14" fontId="13" fillId="0" borderId="5" xfId="0" applyNumberFormat="1" applyFont="1" applyBorder="1"/>
    <xf numFmtId="164" fontId="0" fillId="0" borderId="0" xfId="0" applyNumberFormat="1"/>
    <xf numFmtId="170" fontId="0" fillId="0" borderId="12" xfId="0" applyNumberFormat="1" applyBorder="1"/>
    <xf numFmtId="170" fontId="0" fillId="0" borderId="14" xfId="0" applyNumberFormat="1" applyBorder="1"/>
    <xf numFmtId="0" fontId="16" fillId="0" borderId="1" xfId="0" applyFont="1" applyBorder="1"/>
    <xf numFmtId="0" fontId="37" fillId="0" borderId="1" xfId="0" applyFont="1" applyBorder="1"/>
    <xf numFmtId="2" fontId="0" fillId="0" borderId="14" xfId="0" applyNumberFormat="1" applyBorder="1"/>
    <xf numFmtId="2" fontId="0" fillId="0" borderId="0" xfId="0" applyNumberFormat="1" applyAlignment="1">
      <alignment horizontal="right"/>
    </xf>
    <xf numFmtId="0" fontId="36" fillId="4" borderId="0" xfId="0" applyFont="1" applyFill="1"/>
    <xf numFmtId="167" fontId="0" fillId="0" borderId="15" xfId="0" applyNumberFormat="1" applyBorder="1" applyAlignment="1">
      <alignment horizontal="right"/>
    </xf>
    <xf numFmtId="0" fontId="38" fillId="0" borderId="1" xfId="0" applyFont="1" applyBorder="1"/>
    <xf numFmtId="172" fontId="38" fillId="0" borderId="1" xfId="0" applyNumberFormat="1" applyFont="1" applyBorder="1"/>
    <xf numFmtId="1" fontId="38" fillId="0" borderId="1" xfId="0" applyNumberFormat="1" applyFont="1" applyBorder="1" applyAlignment="1">
      <alignment horizontal="center"/>
    </xf>
    <xf numFmtId="0" fontId="39" fillId="0" borderId="0" xfId="0" applyFont="1"/>
    <xf numFmtId="0" fontId="41" fillId="0" borderId="0" xfId="0" applyFont="1"/>
    <xf numFmtId="1" fontId="39" fillId="0" borderId="0" xfId="0" applyNumberFormat="1" applyFont="1"/>
    <xf numFmtId="0" fontId="39" fillId="0" borderId="0" xfId="0" applyFont="1" applyAlignment="1">
      <alignment horizontal="center"/>
    </xf>
    <xf numFmtId="0" fontId="38" fillId="0" borderId="0" xfId="0" applyFont="1"/>
    <xf numFmtId="2" fontId="39" fillId="0" borderId="0" xfId="0" applyNumberFormat="1" applyFont="1"/>
    <xf numFmtId="0" fontId="0" fillId="4" borderId="17" xfId="0" applyFill="1" applyBorder="1"/>
    <xf numFmtId="0" fontId="0" fillId="4" borderId="18" xfId="0" applyFill="1" applyBorder="1"/>
    <xf numFmtId="0" fontId="0" fillId="4" borderId="20" xfId="0" applyFill="1" applyBorder="1"/>
    <xf numFmtId="0" fontId="0" fillId="4" borderId="19" xfId="0" applyFill="1" applyBorder="1"/>
    <xf numFmtId="0" fontId="0" fillId="4" borderId="2" xfId="0" applyFill="1" applyBorder="1"/>
    <xf numFmtId="0" fontId="0" fillId="4" borderId="15" xfId="0" applyFill="1" applyBorder="1"/>
    <xf numFmtId="0" fontId="0" fillId="4" borderId="13" xfId="0" applyFill="1" applyBorder="1"/>
    <xf numFmtId="0" fontId="12" fillId="4" borderId="19" xfId="0" applyFont="1" applyFill="1" applyBorder="1"/>
    <xf numFmtId="0" fontId="14" fillId="4" borderId="0" xfId="0" applyFont="1" applyFill="1"/>
    <xf numFmtId="9" fontId="12" fillId="4" borderId="0" xfId="1" applyFont="1" applyFill="1" applyBorder="1"/>
    <xf numFmtId="0" fontId="13" fillId="4" borderId="5" xfId="0" applyFont="1" applyFill="1" applyBorder="1"/>
    <xf numFmtId="0" fontId="13" fillId="4" borderId="0" xfId="0" applyFont="1" applyFill="1"/>
    <xf numFmtId="0" fontId="0" fillId="4" borderId="22" xfId="0" applyFill="1" applyBorder="1"/>
    <xf numFmtId="0" fontId="0" fillId="4" borderId="23" xfId="0" applyFill="1" applyBorder="1"/>
    <xf numFmtId="0" fontId="0" fillId="4" borderId="24" xfId="0" applyFill="1" applyBorder="1"/>
    <xf numFmtId="168" fontId="0" fillId="4" borderId="0" xfId="0" applyNumberFormat="1" applyFill="1"/>
    <xf numFmtId="1" fontId="16" fillId="4" borderId="0" xfId="0" applyNumberFormat="1" applyFont="1" applyFill="1"/>
    <xf numFmtId="167" fontId="16" fillId="4" borderId="0" xfId="0" applyNumberFormat="1" applyFont="1" applyFill="1"/>
    <xf numFmtId="0" fontId="0" fillId="4" borderId="36" xfId="0" applyFill="1" applyBorder="1"/>
    <xf numFmtId="0" fontId="0" fillId="4" borderId="9" xfId="0" applyFill="1" applyBorder="1"/>
    <xf numFmtId="168" fontId="16" fillId="4" borderId="0" xfId="0" applyNumberFormat="1" applyFont="1" applyFill="1"/>
    <xf numFmtId="10" fontId="16" fillId="4" borderId="0" xfId="0" applyNumberFormat="1" applyFont="1" applyFill="1"/>
    <xf numFmtId="3" fontId="16" fillId="4" borderId="0" xfId="0" applyNumberFormat="1" applyFont="1" applyFill="1"/>
    <xf numFmtId="4" fontId="16" fillId="4" borderId="0" xfId="0" applyNumberFormat="1" applyFont="1" applyFill="1"/>
    <xf numFmtId="9" fontId="0" fillId="4" borderId="0" xfId="1" applyFont="1" applyFill="1" applyBorder="1"/>
    <xf numFmtId="0" fontId="0" fillId="4" borderId="1" xfId="0" applyFill="1" applyBorder="1"/>
    <xf numFmtId="2" fontId="17" fillId="4" borderId="0" xfId="0" applyNumberFormat="1" applyFont="1" applyFill="1"/>
    <xf numFmtId="1" fontId="0" fillId="4" borderId="0" xfId="1" applyNumberFormat="1" applyFont="1" applyFill="1" applyBorder="1"/>
    <xf numFmtId="2" fontId="14" fillId="4" borderId="0" xfId="0" applyNumberFormat="1" applyFont="1" applyFill="1"/>
    <xf numFmtId="0" fontId="0" fillId="4" borderId="16" xfId="0" applyFill="1" applyBorder="1"/>
    <xf numFmtId="2" fontId="16" fillId="4" borderId="0" xfId="0" applyNumberFormat="1" applyFont="1" applyFill="1"/>
    <xf numFmtId="0" fontId="18" fillId="4" borderId="19" xfId="0" applyFont="1" applyFill="1" applyBorder="1"/>
    <xf numFmtId="0" fontId="22" fillId="0" borderId="1" xfId="0" applyFont="1" applyBorder="1"/>
    <xf numFmtId="0" fontId="42" fillId="0" borderId="2" xfId="0" applyFont="1" applyBorder="1"/>
    <xf numFmtId="0" fontId="22" fillId="0" borderId="9" xfId="0" applyFont="1" applyBorder="1"/>
    <xf numFmtId="0" fontId="22" fillId="0" borderId="11" xfId="0" applyFont="1" applyBorder="1"/>
    <xf numFmtId="0" fontId="22" fillId="0" borderId="12" xfId="0" applyFont="1" applyBorder="1"/>
    <xf numFmtId="0" fontId="42" fillId="0" borderId="9" xfId="0" applyFont="1" applyBorder="1"/>
    <xf numFmtId="0" fontId="42" fillId="0" borderId="10" xfId="0" applyFont="1" applyBorder="1"/>
    <xf numFmtId="0" fontId="42" fillId="0" borderId="11" xfId="0" applyFont="1" applyBorder="1"/>
    <xf numFmtId="0" fontId="42" fillId="0" borderId="0" xfId="0" applyFont="1"/>
    <xf numFmtId="167" fontId="0" fillId="0" borderId="0" xfId="0" applyNumberFormat="1" applyAlignment="1">
      <alignment horizontal="right"/>
    </xf>
    <xf numFmtId="164" fontId="0" fillId="4" borderId="0" xfId="0" applyNumberFormat="1" applyFill="1"/>
    <xf numFmtId="170" fontId="0" fillId="4" borderId="0" xfId="0" applyNumberFormat="1" applyFill="1"/>
    <xf numFmtId="0" fontId="32" fillId="0" borderId="7" xfId="0" applyFont="1" applyBorder="1"/>
    <xf numFmtId="2" fontId="45" fillId="0" borderId="1" xfId="0" applyNumberFormat="1" applyFont="1" applyBorder="1"/>
    <xf numFmtId="167" fontId="45" fillId="0" borderId="1" xfId="0" applyNumberFormat="1" applyFont="1" applyBorder="1"/>
    <xf numFmtId="9" fontId="45" fillId="0" borderId="1" xfId="1" applyFont="1" applyBorder="1"/>
    <xf numFmtId="9" fontId="45" fillId="0" borderId="29" xfId="1" applyFont="1" applyBorder="1"/>
    <xf numFmtId="2" fontId="45" fillId="0" borderId="7" xfId="0" applyNumberFormat="1" applyFont="1" applyBorder="1"/>
    <xf numFmtId="1" fontId="45" fillId="0" borderId="7" xfId="0" applyNumberFormat="1" applyFont="1" applyBorder="1"/>
    <xf numFmtId="9" fontId="45" fillId="0" borderId="30" xfId="1" applyFont="1" applyBorder="1"/>
    <xf numFmtId="0" fontId="44" fillId="0" borderId="1" xfId="0" applyFont="1" applyBorder="1"/>
    <xf numFmtId="0" fontId="27" fillId="0" borderId="4" xfId="0" applyFont="1" applyBorder="1"/>
    <xf numFmtId="0" fontId="35" fillId="0" borderId="7" xfId="0" applyFont="1" applyBorder="1"/>
    <xf numFmtId="0" fontId="35" fillId="0" borderId="4" xfId="0" applyFont="1" applyBorder="1"/>
    <xf numFmtId="0" fontId="13" fillId="0" borderId="7" xfId="0" applyFont="1" applyBorder="1"/>
    <xf numFmtId="0" fontId="13" fillId="0" borderId="3" xfId="0" applyFont="1" applyBorder="1"/>
    <xf numFmtId="0" fontId="13" fillId="0" borderId="21" xfId="0" applyFont="1" applyBorder="1"/>
    <xf numFmtId="0" fontId="34" fillId="0" borderId="2" xfId="0" applyFont="1" applyBorder="1"/>
    <xf numFmtId="0" fontId="13" fillId="0" borderId="11" xfId="0" applyFont="1" applyBorder="1"/>
    <xf numFmtId="0" fontId="32" fillId="0" borderId="5" xfId="0" applyFont="1" applyBorder="1"/>
    <xf numFmtId="0" fontId="5" fillId="6" borderId="1" xfId="0" applyFont="1" applyFill="1" applyBorder="1"/>
    <xf numFmtId="14" fontId="5" fillId="6" borderId="1" xfId="0" applyNumberFormat="1" applyFont="1" applyFill="1" applyBorder="1"/>
    <xf numFmtId="166" fontId="5" fillId="6" borderId="1" xfId="1" applyNumberFormat="1" applyFont="1" applyFill="1" applyBorder="1"/>
    <xf numFmtId="0" fontId="21" fillId="6" borderId="1" xfId="0" applyFont="1" applyFill="1" applyBorder="1"/>
    <xf numFmtId="167" fontId="21" fillId="6" borderId="1" xfId="0" applyNumberFormat="1" applyFont="1" applyFill="1" applyBorder="1"/>
    <xf numFmtId="0" fontId="20" fillId="6" borderId="1" xfId="0" applyFont="1" applyFill="1" applyBorder="1"/>
    <xf numFmtId="9" fontId="20" fillId="6" borderId="1" xfId="1" applyFont="1" applyFill="1" applyBorder="1"/>
    <xf numFmtId="14" fontId="20" fillId="6" borderId="1" xfId="0" applyNumberFormat="1" applyFont="1" applyFill="1" applyBorder="1"/>
    <xf numFmtId="0" fontId="12" fillId="6" borderId="25" xfId="0" applyFont="1" applyFill="1" applyBorder="1"/>
    <xf numFmtId="0" fontId="12" fillId="6" borderId="1" xfId="0" applyFont="1" applyFill="1" applyBorder="1"/>
    <xf numFmtId="9" fontId="12" fillId="6" borderId="1" xfId="1" applyFont="1" applyFill="1" applyBorder="1"/>
    <xf numFmtId="2" fontId="49" fillId="0" borderId="1" xfId="0" applyNumberFormat="1" applyFont="1" applyBorder="1"/>
    <xf numFmtId="9" fontId="49" fillId="0" borderId="1" xfId="1" applyFont="1" applyBorder="1"/>
    <xf numFmtId="9" fontId="33" fillId="6" borderId="1" xfId="1" applyFont="1" applyFill="1" applyBorder="1"/>
    <xf numFmtId="0" fontId="12" fillId="6" borderId="19" xfId="0" applyFont="1" applyFill="1" applyBorder="1"/>
    <xf numFmtId="2" fontId="17" fillId="6" borderId="1" xfId="0" applyNumberFormat="1" applyFont="1" applyFill="1" applyBorder="1"/>
    <xf numFmtId="0" fontId="17" fillId="6" borderId="1" xfId="0" applyFont="1" applyFill="1" applyBorder="1"/>
    <xf numFmtId="9" fontId="33" fillId="6" borderId="3" xfId="1" applyFont="1" applyFill="1" applyBorder="1"/>
    <xf numFmtId="9" fontId="19" fillId="6" borderId="1" xfId="1" applyFont="1" applyFill="1" applyBorder="1"/>
    <xf numFmtId="0" fontId="18" fillId="6" borderId="1" xfId="0" applyFont="1" applyFill="1" applyBorder="1"/>
    <xf numFmtId="0" fontId="18" fillId="6" borderId="25" xfId="0" applyFont="1" applyFill="1" applyBorder="1"/>
    <xf numFmtId="0" fontId="40" fillId="6" borderId="1" xfId="0" applyFont="1" applyFill="1" applyBorder="1"/>
    <xf numFmtId="167" fontId="32" fillId="6" borderId="9" xfId="0" applyNumberFormat="1" applyFont="1" applyFill="1" applyBorder="1"/>
    <xf numFmtId="0" fontId="31" fillId="6" borderId="4" xfId="0" applyFont="1" applyFill="1" applyBorder="1"/>
    <xf numFmtId="0" fontId="31" fillId="6" borderId="6" xfId="0" applyFont="1" applyFill="1" applyBorder="1"/>
    <xf numFmtId="167" fontId="32" fillId="6" borderId="5" xfId="0" applyNumberFormat="1" applyFont="1" applyFill="1" applyBorder="1"/>
    <xf numFmtId="0" fontId="31" fillId="6" borderId="12" xfId="0" applyFont="1" applyFill="1" applyBorder="1"/>
    <xf numFmtId="0" fontId="31" fillId="6" borderId="0" xfId="0" applyFont="1" applyFill="1" applyAlignment="1">
      <alignment horizontal="center"/>
    </xf>
    <xf numFmtId="1" fontId="31" fillId="6" borderId="6" xfId="0" applyNumberFormat="1" applyFont="1" applyFill="1" applyBorder="1"/>
    <xf numFmtId="0" fontId="31" fillId="6" borderId="10" xfId="0" applyFont="1" applyFill="1" applyBorder="1" applyAlignment="1">
      <alignment horizontal="center"/>
    </xf>
    <xf numFmtId="167" fontId="32" fillId="6" borderId="13" xfId="0" applyNumberFormat="1" applyFont="1" applyFill="1" applyBorder="1"/>
    <xf numFmtId="1" fontId="13" fillId="0" borderId="15" xfId="0" applyNumberFormat="1" applyFont="1" applyBorder="1"/>
    <xf numFmtId="0" fontId="5" fillId="6" borderId="2" xfId="0" applyFont="1" applyFill="1" applyBorder="1"/>
    <xf numFmtId="0" fontId="27" fillId="0" borderId="7" xfId="0" applyFont="1" applyBorder="1"/>
    <xf numFmtId="0" fontId="32" fillId="0" borderId="0" xfId="0" applyFont="1"/>
    <xf numFmtId="0" fontId="30" fillId="6" borderId="5" xfId="0" applyFont="1" applyFill="1" applyBorder="1"/>
    <xf numFmtId="166" fontId="30" fillId="6" borderId="5" xfId="1" applyNumberFormat="1" applyFont="1" applyFill="1" applyBorder="1"/>
    <xf numFmtId="0" fontId="30" fillId="6" borderId="6" xfId="0" applyFont="1" applyFill="1" applyBorder="1"/>
    <xf numFmtId="0" fontId="30" fillId="6" borderId="4" xfId="0" applyFont="1" applyFill="1" applyBorder="1"/>
    <xf numFmtId="0" fontId="30" fillId="6" borderId="13" xfId="0" applyFont="1" applyFill="1" applyBorder="1"/>
    <xf numFmtId="166" fontId="30" fillId="6" borderId="13" xfId="1" applyNumberFormat="1" applyFont="1" applyFill="1" applyBorder="1"/>
    <xf numFmtId="0" fontId="30" fillId="6" borderId="7" xfId="0" applyFont="1" applyFill="1" applyBorder="1"/>
    <xf numFmtId="0" fontId="24" fillId="3" borderId="1" xfId="0" applyFont="1" applyFill="1" applyBorder="1"/>
    <xf numFmtId="0" fontId="43" fillId="3" borderId="1" xfId="0" applyFont="1" applyFill="1" applyBorder="1"/>
    <xf numFmtId="0" fontId="24" fillId="2" borderId="13" xfId="0" applyFont="1" applyFill="1" applyBorder="1"/>
    <xf numFmtId="0" fontId="24" fillId="2" borderId="15" xfId="0" applyFont="1" applyFill="1" applyBorder="1"/>
    <xf numFmtId="0" fontId="0" fillId="0" borderId="14" xfId="0" applyBorder="1" applyAlignment="1">
      <alignment horizontal="center"/>
    </xf>
    <xf numFmtId="2" fontId="50" fillId="7" borderId="1" xfId="0" applyNumberFormat="1" applyFont="1" applyFill="1" applyBorder="1" applyAlignment="1" applyProtection="1">
      <alignment horizontal="center"/>
      <protection locked="0"/>
    </xf>
    <xf numFmtId="1" fontId="50" fillId="7" borderId="1" xfId="0" applyNumberFormat="1" applyFont="1" applyFill="1" applyBorder="1" applyAlignment="1" applyProtection="1">
      <alignment horizontal="center"/>
      <protection locked="0"/>
    </xf>
    <xf numFmtId="1" fontId="50" fillId="7" borderId="1" xfId="2" applyNumberFormat="1" applyFont="1" applyFill="1" applyBorder="1" applyAlignment="1" applyProtection="1">
      <alignment horizontal="center"/>
      <protection locked="0"/>
    </xf>
    <xf numFmtId="167" fontId="50" fillId="7" borderId="1" xfId="0" applyNumberFormat="1" applyFont="1" applyFill="1" applyBorder="1" applyAlignment="1" applyProtection="1">
      <alignment horizontal="center"/>
      <protection locked="0"/>
    </xf>
    <xf numFmtId="0" fontId="0" fillId="0" borderId="2" xfId="0" applyBorder="1" applyAlignment="1">
      <alignment horizontal="center"/>
    </xf>
    <xf numFmtId="0" fontId="0" fillId="0" borderId="8" xfId="0" applyBorder="1" applyAlignment="1">
      <alignment horizontal="center"/>
    </xf>
    <xf numFmtId="0" fontId="0" fillId="0" borderId="3" xfId="0" applyBorder="1" applyAlignment="1">
      <alignment horizontal="center"/>
    </xf>
    <xf numFmtId="10" fontId="50" fillId="7" borderId="1" xfId="1" applyNumberFormat="1" applyFont="1" applyFill="1" applyBorder="1" applyAlignment="1" applyProtection="1">
      <alignment horizontal="center"/>
      <protection locked="0"/>
    </xf>
    <xf numFmtId="10" fontId="16" fillId="0" borderId="0" xfId="1" applyNumberFormat="1" applyFont="1" applyBorder="1"/>
    <xf numFmtId="10" fontId="16" fillId="0" borderId="11" xfId="1" applyNumberFormat="1" applyFont="1" applyBorder="1"/>
    <xf numFmtId="2" fontId="16" fillId="0" borderId="0" xfId="0" applyNumberFormat="1" applyFont="1"/>
    <xf numFmtId="2" fontId="16" fillId="0" borderId="12" xfId="0" applyNumberFormat="1" applyFont="1" applyBorder="1"/>
    <xf numFmtId="0" fontId="0" fillId="8" borderId="0" xfId="0" applyFill="1"/>
    <xf numFmtId="0" fontId="0" fillId="8" borderId="0" xfId="0" applyFill="1" applyAlignment="1">
      <alignment horizontal="center"/>
    </xf>
    <xf numFmtId="0" fontId="0" fillId="7" borderId="0" xfId="0" applyFill="1" applyAlignment="1">
      <alignment horizontal="center"/>
    </xf>
    <xf numFmtId="0" fontId="52" fillId="0" borderId="1" xfId="3" applyFont="1" applyBorder="1"/>
    <xf numFmtId="1" fontId="53" fillId="0" borderId="1" xfId="3" applyNumberFormat="1" applyFont="1" applyBorder="1" applyAlignment="1" applyProtection="1">
      <alignment horizontal="center"/>
      <protection locked="0"/>
    </xf>
    <xf numFmtId="1" fontId="54" fillId="0" borderId="1" xfId="3" applyNumberFormat="1" applyFont="1" applyBorder="1" applyAlignment="1" applyProtection="1">
      <alignment horizontal="center"/>
      <protection locked="0"/>
    </xf>
    <xf numFmtId="1" fontId="55" fillId="0" borderId="1" xfId="3" applyNumberFormat="1" applyFont="1" applyBorder="1" applyAlignment="1" applyProtection="1">
      <alignment horizontal="center"/>
      <protection locked="0"/>
    </xf>
    <xf numFmtId="1" fontId="53" fillId="0" borderId="1" xfId="3" applyNumberFormat="1" applyFont="1" applyBorder="1" applyAlignment="1">
      <alignment horizontal="center"/>
    </xf>
    <xf numFmtId="1" fontId="54" fillId="0" borderId="1" xfId="3" applyNumberFormat="1" applyFont="1" applyBorder="1" applyAlignment="1">
      <alignment horizontal="center"/>
    </xf>
    <xf numFmtId="0" fontId="56" fillId="0" borderId="1" xfId="3" applyFont="1" applyBorder="1"/>
    <xf numFmtId="1" fontId="57" fillId="0" borderId="1" xfId="3" applyNumberFormat="1" applyFont="1" applyBorder="1" applyAlignment="1" applyProtection="1">
      <alignment horizontal="center"/>
      <protection locked="0"/>
    </xf>
    <xf numFmtId="0" fontId="58" fillId="0" borderId="1" xfId="3" applyFont="1" applyBorder="1"/>
    <xf numFmtId="0" fontId="51" fillId="0" borderId="1" xfId="3" applyBorder="1" applyAlignment="1" applyProtection="1">
      <alignment horizontal="center"/>
      <protection locked="0"/>
    </xf>
    <xf numFmtId="1" fontId="29" fillId="0" borderId="1" xfId="3" applyNumberFormat="1" applyFont="1" applyBorder="1" applyAlignment="1" applyProtection="1">
      <alignment horizontal="center"/>
      <protection locked="0"/>
    </xf>
    <xf numFmtId="1" fontId="51" fillId="0" borderId="1" xfId="3" applyNumberFormat="1" applyBorder="1" applyAlignment="1" applyProtection="1">
      <alignment horizontal="center"/>
      <protection locked="0"/>
    </xf>
    <xf numFmtId="0" fontId="0" fillId="0" borderId="0" xfId="0" applyAlignment="1">
      <alignment horizontal="center"/>
    </xf>
    <xf numFmtId="9" fontId="0" fillId="0" borderId="0" xfId="0" applyNumberFormat="1"/>
    <xf numFmtId="10" fontId="0" fillId="0" borderId="0" xfId="0" applyNumberFormat="1"/>
    <xf numFmtId="0" fontId="59" fillId="0" borderId="0" xfId="0" applyFont="1"/>
    <xf numFmtId="0" fontId="60" fillId="0" borderId="0" xfId="0" applyFont="1"/>
    <xf numFmtId="0" fontId="61" fillId="0" borderId="0" xfId="0" applyFont="1"/>
    <xf numFmtId="168" fontId="62" fillId="0" borderId="1" xfId="0" applyNumberFormat="1" applyFont="1" applyBorder="1"/>
    <xf numFmtId="2" fontId="62" fillId="0" borderId="1" xfId="0" applyNumberFormat="1" applyFont="1" applyBorder="1"/>
    <xf numFmtId="0" fontId="63" fillId="0" borderId="0" xfId="0" applyFont="1"/>
    <xf numFmtId="9" fontId="63" fillId="0" borderId="0" xfId="1" applyFont="1"/>
    <xf numFmtId="0" fontId="64" fillId="0" borderId="0" xfId="0" applyFont="1"/>
    <xf numFmtId="0" fontId="32" fillId="0" borderId="1" xfId="0" applyFont="1" applyBorder="1"/>
    <xf numFmtId="0" fontId="65" fillId="0" borderId="2" xfId="0" applyFont="1" applyBorder="1"/>
    <xf numFmtId="0" fontId="65" fillId="0" borderId="8" xfId="0" applyFont="1" applyBorder="1"/>
    <xf numFmtId="0" fontId="65" fillId="0" borderId="3" xfId="0" applyFont="1" applyBorder="1"/>
    <xf numFmtId="0" fontId="66" fillId="0" borderId="0" xfId="0" applyFont="1"/>
    <xf numFmtId="2" fontId="66" fillId="0" borderId="0" xfId="0" applyNumberFormat="1" applyFont="1"/>
    <xf numFmtId="0" fontId="65" fillId="0" borderId="9" xfId="0" applyFont="1" applyBorder="1"/>
    <xf numFmtId="0" fontId="65" fillId="0" borderId="10" xfId="0" applyFont="1" applyBorder="1"/>
    <xf numFmtId="0" fontId="65" fillId="0" borderId="11" xfId="0" applyFont="1" applyBorder="1"/>
    <xf numFmtId="0" fontId="32" fillId="0" borderId="13" xfId="0" applyFont="1" applyBorder="1"/>
    <xf numFmtId="0" fontId="32" fillId="0" borderId="15" xfId="0" applyFont="1" applyBorder="1"/>
    <xf numFmtId="0" fontId="64" fillId="0" borderId="2" xfId="0" applyFont="1" applyBorder="1" applyAlignment="1">
      <alignment horizontal="center"/>
    </xf>
    <xf numFmtId="0" fontId="64" fillId="0" borderId="8" xfId="0" applyFont="1" applyBorder="1" applyAlignment="1">
      <alignment horizontal="center"/>
    </xf>
    <xf numFmtId="0" fontId="64" fillId="0" borderId="3" xfId="0" applyFont="1" applyBorder="1" applyAlignment="1">
      <alignment horizontal="center"/>
    </xf>
    <xf numFmtId="0" fontId="64" fillId="0" borderId="13" xfId="0" applyFont="1" applyBorder="1" applyAlignment="1">
      <alignment horizontal="center"/>
    </xf>
    <xf numFmtId="0" fontId="64" fillId="0" borderId="14" xfId="0" applyFont="1" applyBorder="1" applyAlignment="1">
      <alignment horizontal="center"/>
    </xf>
    <xf numFmtId="0" fontId="64" fillId="0" borderId="15" xfId="0" applyFont="1" applyBorder="1" applyAlignment="1">
      <alignment horizontal="center"/>
    </xf>
    <xf numFmtId="10" fontId="64" fillId="0" borderId="1" xfId="1" applyNumberFormat="1" applyFont="1" applyBorder="1"/>
    <xf numFmtId="2" fontId="64" fillId="0" borderId="1" xfId="0" applyNumberFormat="1" applyFont="1" applyBorder="1"/>
    <xf numFmtId="10" fontId="50" fillId="7" borderId="2" xfId="1" applyNumberFormat="1" applyFont="1" applyFill="1" applyBorder="1" applyAlignment="1" applyProtection="1">
      <alignment horizontal="center"/>
      <protection locked="0"/>
    </xf>
    <xf numFmtId="0" fontId="27" fillId="0" borderId="11" xfId="0" applyFont="1" applyBorder="1"/>
    <xf numFmtId="1" fontId="4" fillId="0" borderId="6" xfId="0" applyNumberFormat="1" applyFont="1" applyBorder="1" applyAlignment="1">
      <alignment horizontal="right"/>
    </xf>
    <xf numFmtId="2" fontId="26" fillId="0" borderId="5" xfId="0" applyNumberFormat="1" applyFont="1" applyBorder="1"/>
    <xf numFmtId="1" fontId="26" fillId="0" borderId="0" xfId="0" applyNumberFormat="1" applyFont="1"/>
    <xf numFmtId="1" fontId="4" fillId="0" borderId="12" xfId="0" applyNumberFormat="1" applyFont="1" applyBorder="1"/>
    <xf numFmtId="168" fontId="0" fillId="0" borderId="5" xfId="0" applyNumberFormat="1" applyBorder="1"/>
    <xf numFmtId="167" fontId="0" fillId="0" borderId="12" xfId="0" applyNumberFormat="1" applyBorder="1" applyAlignment="1">
      <alignment horizontal="right"/>
    </xf>
    <xf numFmtId="0" fontId="26" fillId="6" borderId="1" xfId="0" applyFont="1" applyFill="1" applyBorder="1"/>
    <xf numFmtId="0" fontId="31" fillId="6" borderId="14" xfId="0" applyFont="1" applyFill="1" applyBorder="1" applyAlignment="1">
      <alignment horizontal="center"/>
    </xf>
    <xf numFmtId="0" fontId="31" fillId="6" borderId="7" xfId="0" applyFont="1" applyFill="1" applyBorder="1"/>
    <xf numFmtId="1" fontId="31" fillId="6" borderId="4" xfId="0" applyNumberFormat="1" applyFont="1" applyFill="1" applyBorder="1" applyAlignment="1">
      <alignment horizontal="center"/>
    </xf>
    <xf numFmtId="1" fontId="31" fillId="6" borderId="6" xfId="0" applyNumberFormat="1" applyFont="1" applyFill="1" applyBorder="1" applyAlignment="1">
      <alignment horizontal="center"/>
    </xf>
    <xf numFmtId="1" fontId="31" fillId="6" borderId="0" xfId="0" applyNumberFormat="1" applyFont="1" applyFill="1" applyAlignment="1">
      <alignment horizontal="center"/>
    </xf>
    <xf numFmtId="1" fontId="31" fillId="6" borderId="4" xfId="0" applyNumberFormat="1" applyFont="1" applyFill="1" applyBorder="1"/>
    <xf numFmtId="0" fontId="30" fillId="0" borderId="1" xfId="0" applyFont="1" applyBorder="1"/>
    <xf numFmtId="1" fontId="31" fillId="6" borderId="12" xfId="0" applyNumberFormat="1" applyFont="1" applyFill="1" applyBorder="1"/>
    <xf numFmtId="1" fontId="31" fillId="6" borderId="11" xfId="0" applyNumberFormat="1" applyFont="1" applyFill="1" applyBorder="1"/>
    <xf numFmtId="1" fontId="31" fillId="6" borderId="15" xfId="0" applyNumberFormat="1" applyFont="1" applyFill="1" applyBorder="1"/>
    <xf numFmtId="0" fontId="67" fillId="0" borderId="4" xfId="0" applyFont="1" applyBorder="1"/>
    <xf numFmtId="9" fontId="67" fillId="0" borderId="4" xfId="1" applyFont="1" applyBorder="1"/>
    <xf numFmtId="0" fontId="67" fillId="0" borderId="11" xfId="0" applyFont="1" applyBorder="1"/>
    <xf numFmtId="0" fontId="67" fillId="0" borderId="6" xfId="0" applyFont="1" applyBorder="1"/>
    <xf numFmtId="9" fontId="67" fillId="0" borderId="6" xfId="1" applyFont="1" applyBorder="1"/>
    <xf numFmtId="0" fontId="67" fillId="0" borderId="12" xfId="0" applyFont="1" applyBorder="1"/>
    <xf numFmtId="1" fontId="67" fillId="0" borderId="6" xfId="0" applyNumberFormat="1" applyFont="1" applyBorder="1"/>
    <xf numFmtId="0" fontId="67" fillId="0" borderId="7" xfId="0" applyFont="1" applyBorder="1"/>
    <xf numFmtId="9" fontId="67" fillId="0" borderId="7" xfId="1" applyFont="1" applyBorder="1"/>
    <xf numFmtId="1" fontId="67" fillId="0" borderId="7" xfId="0" applyNumberFormat="1" applyFont="1" applyBorder="1"/>
    <xf numFmtId="0" fontId="67" fillId="0" borderId="15" xfId="0" applyFont="1" applyBorder="1"/>
    <xf numFmtId="0" fontId="32" fillId="0" borderId="2" xfId="0" applyFont="1" applyBorder="1"/>
    <xf numFmtId="166" fontId="29" fillId="0" borderId="5" xfId="1" applyNumberFormat="1" applyFont="1" applyBorder="1"/>
    <xf numFmtId="0" fontId="29" fillId="0" borderId="6" xfId="0" applyFont="1" applyBorder="1"/>
    <xf numFmtId="166" fontId="29" fillId="0" borderId="6" xfId="1" applyNumberFormat="1" applyFont="1" applyBorder="1"/>
    <xf numFmtId="166" fontId="29" fillId="0" borderId="6" xfId="1" applyNumberFormat="1" applyFont="1" applyFill="1" applyBorder="1"/>
    <xf numFmtId="0" fontId="29" fillId="0" borderId="13" xfId="0" applyFont="1" applyBorder="1"/>
    <xf numFmtId="166" fontId="29" fillId="0" borderId="7" xfId="1" applyNumberFormat="1" applyFont="1" applyFill="1" applyBorder="1"/>
    <xf numFmtId="0" fontId="69" fillId="0" borderId="8" xfId="0" applyFont="1" applyBorder="1"/>
    <xf numFmtId="0" fontId="32" fillId="0" borderId="9" xfId="0" applyFont="1" applyBorder="1" applyAlignment="1">
      <alignment horizontal="right"/>
    </xf>
    <xf numFmtId="0" fontId="32" fillId="0" borderId="1" xfId="0" applyFont="1" applyBorder="1" applyAlignment="1">
      <alignment horizontal="center"/>
    </xf>
    <xf numFmtId="0" fontId="32" fillId="0" borderId="1" xfId="0" applyFont="1" applyBorder="1" applyAlignment="1">
      <alignment horizontal="right"/>
    </xf>
    <xf numFmtId="0" fontId="32" fillId="0" borderId="3" xfId="0" applyFont="1" applyBorder="1" applyAlignment="1">
      <alignment horizontal="right"/>
    </xf>
    <xf numFmtId="0" fontId="29" fillId="0" borderId="9" xfId="0" applyFont="1" applyBorder="1"/>
    <xf numFmtId="1" fontId="29" fillId="0" borderId="11" xfId="0" applyNumberFormat="1" applyFont="1" applyBorder="1"/>
    <xf numFmtId="2" fontId="29" fillId="0" borderId="4" xfId="0" applyNumberFormat="1" applyFont="1" applyBorder="1"/>
    <xf numFmtId="1" fontId="29" fillId="0" borderId="4" xfId="0" applyNumberFormat="1" applyFont="1" applyBorder="1"/>
    <xf numFmtId="1" fontId="29" fillId="0" borderId="6" xfId="0" applyNumberFormat="1" applyFont="1" applyBorder="1"/>
    <xf numFmtId="1" fontId="29" fillId="0" borderId="12" xfId="0" applyNumberFormat="1" applyFont="1" applyBorder="1"/>
    <xf numFmtId="2" fontId="29" fillId="0" borderId="6" xfId="0" applyNumberFormat="1" applyFont="1" applyBorder="1"/>
    <xf numFmtId="1" fontId="29" fillId="0" borderId="0" xfId="0" applyNumberFormat="1" applyFont="1"/>
    <xf numFmtId="1" fontId="29" fillId="0" borderId="10" xfId="0" applyNumberFormat="1" applyFont="1" applyBorder="1"/>
    <xf numFmtId="0" fontId="29" fillId="0" borderId="0" xfId="0" applyFont="1"/>
    <xf numFmtId="0" fontId="29" fillId="0" borderId="14" xfId="0" applyFont="1" applyBorder="1"/>
    <xf numFmtId="2" fontId="29" fillId="0" borderId="7" xfId="0" applyNumberFormat="1" applyFont="1" applyBorder="1"/>
    <xf numFmtId="1" fontId="29" fillId="0" borderId="14" xfId="0" applyNumberFormat="1" applyFont="1" applyBorder="1"/>
    <xf numFmtId="1" fontId="29" fillId="0" borderId="7" xfId="0" applyNumberFormat="1" applyFont="1" applyBorder="1"/>
    <xf numFmtId="166" fontId="29" fillId="0" borderId="4" xfId="1" applyNumberFormat="1" applyFont="1" applyFill="1" applyBorder="1"/>
    <xf numFmtId="1" fontId="29" fillId="0" borderId="15" xfId="0" applyNumberFormat="1" applyFont="1" applyBorder="1"/>
    <xf numFmtId="0" fontId="24" fillId="2" borderId="14" xfId="0" applyFont="1" applyFill="1" applyBorder="1"/>
    <xf numFmtId="0" fontId="32" fillId="0" borderId="4" xfId="0" applyFont="1" applyBorder="1"/>
    <xf numFmtId="0" fontId="0" fillId="8" borderId="5" xfId="0" applyFill="1" applyBorder="1"/>
    <xf numFmtId="0" fontId="0" fillId="7" borderId="13" xfId="0" applyFill="1" applyBorder="1"/>
    <xf numFmtId="0" fontId="0" fillId="7" borderId="14" xfId="0" applyFill="1" applyBorder="1" applyAlignment="1">
      <alignment horizontal="center"/>
    </xf>
    <xf numFmtId="0" fontId="0" fillId="7" borderId="15" xfId="0" applyFill="1" applyBorder="1" applyAlignment="1">
      <alignment horizontal="center"/>
    </xf>
    <xf numFmtId="0" fontId="69" fillId="6" borderId="6" xfId="0" applyFont="1" applyFill="1" applyBorder="1"/>
    <xf numFmtId="0" fontId="69" fillId="6" borderId="4" xfId="0" applyFont="1" applyFill="1" applyBorder="1"/>
    <xf numFmtId="0" fontId="69" fillId="6" borderId="12" xfId="0" applyFont="1" applyFill="1" applyBorder="1"/>
    <xf numFmtId="0" fontId="69" fillId="6" borderId="7" xfId="0" applyFont="1" applyFill="1" applyBorder="1"/>
    <xf numFmtId="2" fontId="67" fillId="0" borderId="4" xfId="0" applyNumberFormat="1" applyFont="1" applyBorder="1"/>
    <xf numFmtId="2" fontId="67" fillId="0" borderId="6" xfId="0" applyNumberFormat="1" applyFont="1" applyBorder="1"/>
    <xf numFmtId="2" fontId="67" fillId="0" borderId="7" xfId="0" applyNumberFormat="1" applyFont="1" applyBorder="1"/>
    <xf numFmtId="0" fontId="0" fillId="0" borderId="21" xfId="0" applyBorder="1"/>
    <xf numFmtId="14" fontId="0" fillId="0" borderId="6" xfId="0" applyNumberFormat="1" applyBorder="1"/>
    <xf numFmtId="0" fontId="35" fillId="0" borderId="38" xfId="0" applyFont="1" applyBorder="1"/>
    <xf numFmtId="167" fontId="0" fillId="0" borderId="11" xfId="0" applyNumberFormat="1" applyBorder="1" applyAlignment="1">
      <alignment horizontal="right"/>
    </xf>
    <xf numFmtId="0" fontId="29" fillId="0" borderId="4" xfId="0" applyFont="1" applyBorder="1"/>
    <xf numFmtId="10" fontId="29" fillId="0" borderId="1" xfId="1" applyNumberFormat="1" applyFont="1" applyBorder="1"/>
    <xf numFmtId="0" fontId="24" fillId="0" borderId="2" xfId="0" applyFont="1" applyBorder="1"/>
    <xf numFmtId="0" fontId="24" fillId="0" borderId="8" xfId="0" applyFont="1" applyBorder="1"/>
    <xf numFmtId="0" fontId="24" fillId="0" borderId="3" xfId="0" applyFont="1" applyBorder="1"/>
    <xf numFmtId="14" fontId="0" fillId="0" borderId="0" xfId="0" applyNumberFormat="1"/>
    <xf numFmtId="173" fontId="0" fillId="0" borderId="0" xfId="0" applyNumberFormat="1"/>
    <xf numFmtId="0" fontId="23" fillId="4" borderId="20" xfId="0" applyFont="1" applyFill="1" applyBorder="1"/>
    <xf numFmtId="2" fontId="23" fillId="4" borderId="0" xfId="0" applyNumberFormat="1" applyFont="1" applyFill="1"/>
    <xf numFmtId="0" fontId="0" fillId="0" borderId="0" xfId="0" applyAlignment="1">
      <alignment wrapText="1"/>
    </xf>
    <xf numFmtId="2" fontId="30" fillId="6" borderId="6" xfId="0" applyNumberFormat="1" applyFont="1" applyFill="1" applyBorder="1"/>
    <xf numFmtId="1" fontId="30" fillId="6" borderId="6" xfId="0" applyNumberFormat="1" applyFont="1" applyFill="1" applyBorder="1"/>
    <xf numFmtId="0" fontId="0" fillId="0" borderId="0" xfId="0" applyAlignment="1">
      <alignment horizontal="center" wrapText="1"/>
    </xf>
    <xf numFmtId="0" fontId="0" fillId="0" borderId="1" xfId="0" applyBorder="1" applyAlignment="1">
      <alignment horizontal="center"/>
    </xf>
    <xf numFmtId="0" fontId="0" fillId="8" borderId="14" xfId="0" applyFill="1" applyBorder="1" applyAlignment="1">
      <alignment horizontal="center"/>
    </xf>
    <xf numFmtId="0" fontId="0" fillId="8" borderId="8" xfId="0" applyFill="1" applyBorder="1" applyAlignment="1">
      <alignment horizontal="center"/>
    </xf>
    <xf numFmtId="0" fontId="0" fillId="8" borderId="3" xfId="0" applyFill="1" applyBorder="1" applyAlignment="1">
      <alignment horizontal="center"/>
    </xf>
    <xf numFmtId="0" fontId="64" fillId="0" borderId="1" xfId="0" applyFont="1" applyBorder="1" applyAlignment="1">
      <alignment horizontal="center"/>
    </xf>
    <xf numFmtId="0" fontId="0" fillId="6" borderId="1" xfId="0" applyFill="1" applyBorder="1" applyAlignment="1">
      <alignment wrapText="1"/>
    </xf>
    <xf numFmtId="9" fontId="0" fillId="6" borderId="1" xfId="1" applyFont="1" applyFill="1" applyBorder="1" applyAlignment="1">
      <alignment wrapText="1"/>
    </xf>
    <xf numFmtId="0" fontId="0" fillId="6" borderId="1" xfId="0" applyFill="1" applyBorder="1"/>
  </cellXfs>
  <cellStyles count="4">
    <cellStyle name="Komma" xfId="2" builtinId="3"/>
    <cellStyle name="Normal" xfId="0" builtinId="0"/>
    <cellStyle name="Normal 2" xfId="3" xr:uid="{00000000-0005-0000-0000-000002000000}"/>
    <cellStyle name="Pros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761999</xdr:colOff>
      <xdr:row>3</xdr:row>
      <xdr:rowOff>190499</xdr:rowOff>
    </xdr:from>
    <xdr:to>
      <xdr:col>11</xdr:col>
      <xdr:colOff>219074</xdr:colOff>
      <xdr:row>33</xdr:row>
      <xdr:rowOff>161924</xdr:rowOff>
    </xdr:to>
    <xdr:sp macro="" textlink="">
      <xdr:nvSpPr>
        <xdr:cNvPr id="3" name="TekstSylinder 2">
          <a:extLst>
            <a:ext uri="{FF2B5EF4-FFF2-40B4-BE49-F238E27FC236}">
              <a16:creationId xmlns:a16="http://schemas.microsoft.com/office/drawing/2014/main" id="{00000000-0008-0000-0000-000003000000}"/>
            </a:ext>
          </a:extLst>
        </xdr:cNvPr>
        <xdr:cNvSpPr txBox="1"/>
      </xdr:nvSpPr>
      <xdr:spPr>
        <a:xfrm>
          <a:off x="761999" y="761999"/>
          <a:ext cx="7839075" cy="5686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7000"/>
            </a:lnSpc>
          </a:pPr>
          <a:r>
            <a:rPr lang="nb-NO" sz="6600"/>
            <a:t>Nortura sauefôring</a:t>
          </a:r>
          <a:endParaRPr lang="nb-NO" sz="3600"/>
        </a:p>
        <a:p>
          <a:pPr algn="ctr">
            <a:lnSpc>
              <a:spcPts val="3800"/>
            </a:lnSpc>
          </a:pPr>
          <a:r>
            <a:rPr lang="nb-NO" sz="3600"/>
            <a:t>eit</a:t>
          </a:r>
          <a:r>
            <a:rPr lang="nb-NO" sz="3600" baseline="0"/>
            <a:t> fôrplanleggingsverktøy frå: </a:t>
          </a:r>
        </a:p>
        <a:p>
          <a:pPr algn="ctr">
            <a:lnSpc>
              <a:spcPts val="7000"/>
            </a:lnSpc>
          </a:pPr>
          <a:endParaRPr lang="nb-NO" sz="6600"/>
        </a:p>
      </xdr:txBody>
    </xdr:sp>
    <xdr:clientData/>
  </xdr:twoCellAnchor>
  <xdr:twoCellAnchor editAs="oneCell">
    <xdr:from>
      <xdr:col>4</xdr:col>
      <xdr:colOff>371474</xdr:colOff>
      <xdr:row>13</xdr:row>
      <xdr:rowOff>9524</xdr:rowOff>
    </xdr:from>
    <xdr:to>
      <xdr:col>7</xdr:col>
      <xdr:colOff>295274</xdr:colOff>
      <xdr:row>30</xdr:row>
      <xdr:rowOff>133349</xdr:rowOff>
    </xdr:to>
    <xdr:pic>
      <xdr:nvPicPr>
        <xdr:cNvPr id="4" name="Bilde 2">
          <a:extLst>
            <a:ext uri="{FF2B5EF4-FFF2-40B4-BE49-F238E27FC236}">
              <a16:creationId xmlns:a16="http://schemas.microsoft.com/office/drawing/2014/main" id="{C62ED70E-1D5F-4CE1-BA9A-5319CDDCA2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19474" y="2486024"/>
          <a:ext cx="2209800" cy="3362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2</xdr:row>
      <xdr:rowOff>161925</xdr:rowOff>
    </xdr:from>
    <xdr:to>
      <xdr:col>9</xdr:col>
      <xdr:colOff>419100</xdr:colOff>
      <xdr:row>51</xdr:row>
      <xdr:rowOff>47625</xdr:rowOff>
    </xdr:to>
    <xdr:sp macro="" textlink="">
      <xdr:nvSpPr>
        <xdr:cNvPr id="2" name="TekstSylinder 1">
          <a:extLst>
            <a:ext uri="{FF2B5EF4-FFF2-40B4-BE49-F238E27FC236}">
              <a16:creationId xmlns:a16="http://schemas.microsoft.com/office/drawing/2014/main" id="{00000000-0008-0000-0100-000002000000}"/>
            </a:ext>
          </a:extLst>
        </xdr:cNvPr>
        <xdr:cNvSpPr txBox="1"/>
      </xdr:nvSpPr>
      <xdr:spPr>
        <a:xfrm>
          <a:off x="76200" y="542925"/>
          <a:ext cx="7200900" cy="922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000"/>
            <a:t>BRUKARRETTLEIING FOR</a:t>
          </a:r>
          <a:r>
            <a:rPr lang="nb-NO" sz="2000" baseline="0"/>
            <a:t> NORTURA SAUEFÔRING</a:t>
          </a:r>
          <a:endParaRPr lang="nb-NO" sz="2000"/>
        </a:p>
        <a:p>
          <a:endParaRPr lang="nb-NO" sz="1100"/>
        </a:p>
        <a:p>
          <a:r>
            <a:rPr lang="nb-NO" sz="1100"/>
            <a:t>1) </a:t>
          </a:r>
        </a:p>
        <a:p>
          <a:r>
            <a:rPr lang="nb-NO" sz="1100"/>
            <a:t>Det skal leggjast inn tal i alle celler med </a:t>
          </a:r>
          <a:r>
            <a:rPr lang="nb-NO" sz="1100" u="sng"/>
            <a:t>gult</a:t>
          </a:r>
          <a:r>
            <a:rPr lang="nb-NO" sz="1100" u="sng" baseline="0"/>
            <a:t> fyll. </a:t>
          </a:r>
          <a:endParaRPr lang="nb-NO" sz="1100" u="sng"/>
        </a:p>
        <a:p>
          <a:r>
            <a:rPr lang="nb-NO" sz="1100"/>
            <a:t>Gå inn på planopplysninger</a:t>
          </a:r>
          <a:r>
            <a:rPr lang="nb-NO" sz="1100" baseline="0"/>
            <a:t> og legg inn  tal dyr, perioden det skal planleggjast for,  tal dyr i ulike holdgrupper, medelvekt på vaksne søyer og påsettlam,  ynskt tilvekst på påsettlam, tal søyer og påsettlam med ulikt fostertal, mål for tilvekst på lam frå ulike kull og til slutt, sankedato og vekt, mål for vekt ved slakting og  kva dato sluttfôringslamma skal ha oppnådd denne vekta.  </a:t>
          </a:r>
        </a:p>
        <a:p>
          <a:endParaRPr lang="nb-NO" sz="1100" baseline="0"/>
        </a:p>
        <a:p>
          <a:r>
            <a:rPr lang="nb-NO" sz="1100" baseline="0"/>
            <a:t>2)</a:t>
          </a:r>
        </a:p>
        <a:p>
          <a:r>
            <a:rPr lang="nb-NO" sz="1100" baseline="0"/>
            <a:t>Gå inn på TINE Analyse og legg inn analyseverdiar som du finn i EANA skifte. Fôrverdiar blir berekna og lagt inn i arket "Aktuelle fôrslag".  Dersom ein fôrer med berre ein type grovfôr, er det greit å ha eit fôrslag som heiter. "Ingen grovfôr nr 2" med 1 i "vekt pr eining" (elles blir det litt tull med formlane pga at det blir 0 under brøkstreken...) helst bør det vera eigne fôranalyser, men finst ikkje det, så kopier  tal frå grovfôrtabellen og lim inn i "Mine grovfôrslag".  Legg gjerne inn tal rundballar, m</a:t>
          </a:r>
          <a:r>
            <a:rPr lang="nb-NO" sz="1100" baseline="30000"/>
            <a:t>3</a:t>
          </a:r>
          <a:r>
            <a:rPr lang="nb-NO" sz="1100" baseline="0"/>
            <a:t> surfôr, tal høyballer osv og vekta pr grovfôreining (f.eks. pr rundball). Da får ein kontroll på om det blir berekna rett grovfôropptak og at ein har nok fôr. </a:t>
          </a:r>
        </a:p>
        <a:p>
          <a:endParaRPr lang="nb-NO" sz="1100" baseline="0"/>
        </a:p>
        <a:p>
          <a:r>
            <a:rPr lang="nb-NO" sz="1100" baseline="0"/>
            <a:t>3) </a:t>
          </a:r>
        </a:p>
        <a:p>
          <a:pPr marL="0" marR="0" indent="0" defTabSz="914400" eaLnBrk="1" fontAlgn="auto" latinLnBrk="0" hangingPunct="1">
            <a:lnSpc>
              <a:spcPct val="100000"/>
            </a:lnSpc>
            <a:spcBef>
              <a:spcPts val="0"/>
            </a:spcBef>
            <a:spcAft>
              <a:spcPts val="0"/>
            </a:spcAft>
            <a:buClrTx/>
            <a:buSzTx/>
            <a:buFontTx/>
            <a:buNone/>
            <a:tabLst/>
            <a:defRPr/>
          </a:pPr>
          <a:r>
            <a:rPr lang="nb-NO" sz="1100" baseline="0"/>
            <a:t>Gå inn på "planlegging" og legg inn dei grovfôrslaga som passar best ut ifrå fôrbehovet til sauen. </a:t>
          </a:r>
          <a:r>
            <a:rPr lang="nb-NO" sz="1100" baseline="0">
              <a:solidFill>
                <a:schemeClr val="dk1"/>
              </a:solidFill>
              <a:effectLst/>
              <a:latin typeface="+mn-lt"/>
              <a:ea typeface="+mn-ea"/>
              <a:cs typeface="+mn-cs"/>
            </a:rPr>
            <a:t>Du vel kraftfôr og  grovfôrslag berre med å leggje inn nr frå tabellen.  Du kan også leggje inn spesialfôr dersom det er for lite protein eller fiber i totalrasjonen. </a:t>
          </a:r>
          <a:r>
            <a:rPr lang="nb-NO" sz="1100" baseline="0"/>
            <a:t>Du kan leggje inn to grovfôrslag, eller eit grovfôrslag og eit spesialfôr. Legg inn det grovfôrslaget som du brukar mest av ,som grovfôr nr 1. Det er det grovfôret som blir brukt til å berekne grovfôropptaket. Brukar du berre dette grovfôret, legg du inn "ingen grovfôr nr 2" som grovfôr nr 2. </a:t>
          </a:r>
        </a:p>
        <a:p>
          <a:pPr marL="0" marR="0" indent="0" defTabSz="914400" eaLnBrk="1" fontAlgn="auto" latinLnBrk="0" hangingPunct="1">
            <a:lnSpc>
              <a:spcPct val="100000"/>
            </a:lnSpc>
            <a:spcBef>
              <a:spcPts val="0"/>
            </a:spcBef>
            <a:spcAft>
              <a:spcPts val="0"/>
            </a:spcAft>
            <a:buClrTx/>
            <a:buSzTx/>
            <a:buFontTx/>
            <a:buNone/>
            <a:tabLst/>
            <a:defRPr/>
          </a:pPr>
          <a:endParaRPr lang="nb-NO" sz="1100" baseline="0"/>
        </a:p>
        <a:p>
          <a:pPr marL="0" marR="0" indent="0" defTabSz="914400" eaLnBrk="1" fontAlgn="auto" latinLnBrk="0" hangingPunct="1">
            <a:lnSpc>
              <a:spcPct val="100000"/>
            </a:lnSpc>
            <a:spcBef>
              <a:spcPts val="0"/>
            </a:spcBef>
            <a:spcAft>
              <a:spcPts val="0"/>
            </a:spcAft>
            <a:buClrTx/>
            <a:buSzTx/>
            <a:buFontTx/>
            <a:buNone/>
            <a:tabLst/>
            <a:defRPr/>
          </a:pPr>
          <a:r>
            <a:rPr lang="nb-NO" sz="1100" baseline="0"/>
            <a:t>Dersom du bruker 2 grovfôrslag, eller eit grovfôr og eit spesialfôr, legg du inn kg grovfôr/spesialfôr du brukar av grovfôr 2. Du må da leggje inn kor mykje dette fôret fortrenger grovfôr 1 i %. Står det 100%, så vil grovfôr 2 redusere opptaket av grovfôr 1 med like stor tørrstoffmengde. Står det 150%, så vil  grovfôr 2 redusere opptaket av grovfôr 1 med meir  enn opptaket av grovfôr 2.  Eks: Legg du inn 0,5 kg NH3halm = 0,43 kg TS, og det står 150% i fortrenging, så vil halmen fortrenge  0,65 kg TS av grovfôr nr 1. og det samla grovfôropptaket går ned. Brukar ein f.eks. litt høy i tillegg til ein surfôrrasjon, vil dette sannsynleg vis auke grovfôropptaket pga at fôrrasjonen blir meir allsidig. Da vil det vera rett å leggje inn f.eks 70% under "fortrenging". Ved bruk av 0,5 kg=0,44 kg TS høy så vil da dette fortrenge berre 0,31 kg TS av grovfôr nr 1.  </a:t>
          </a:r>
          <a:r>
            <a:rPr lang="nb-NO" sz="1100" baseline="0">
              <a:solidFill>
                <a:schemeClr val="dk1"/>
              </a:solidFill>
              <a:effectLst/>
              <a:latin typeface="+mn-lt"/>
              <a:ea typeface="+mn-ea"/>
              <a:cs typeface="+mn-cs"/>
            </a:rPr>
            <a:t>Sjekk om det berekna grovfôropptaket stemmer med det som er i praksis. Juster evt. opptaket med korrigeringsfaktoren. </a:t>
          </a:r>
          <a:endParaRPr lang="nb-NO">
            <a:effectLst/>
          </a:endParaRPr>
        </a:p>
        <a:p>
          <a:endParaRPr lang="nb-NO" sz="1100" baseline="0"/>
        </a:p>
        <a:p>
          <a:r>
            <a:rPr lang="nb-NO" sz="1100" baseline="0">
              <a:solidFill>
                <a:schemeClr val="dk1"/>
              </a:solidFill>
              <a:effectLst/>
              <a:latin typeface="+mn-lt"/>
              <a:ea typeface="+mn-ea"/>
              <a:cs typeface="+mn-cs"/>
            </a:rPr>
            <a:t>Da er det tid for å leggje inn kraftfôr. Sjå på balansen for FEm og AAT/FEm og PBV/FEm og NDF kontrollen og vel det rimelegaste kraftfôret som dekker sauen sitt behov for energi (FEm,) protein (AAT og PBV) og fiber (NDF). Hugs at NDF i totalrasjonen </a:t>
          </a:r>
          <a:r>
            <a:rPr lang="nb-NO" sz="1100" b="0" u="sng" baseline="0">
              <a:solidFill>
                <a:schemeClr val="dk1"/>
              </a:solidFill>
              <a:effectLst/>
              <a:latin typeface="+mn-lt"/>
              <a:ea typeface="+mn-ea"/>
              <a:cs typeface="+mn-cs"/>
            </a:rPr>
            <a:t>bør ligge over 40% </a:t>
          </a:r>
          <a:r>
            <a:rPr lang="nb-NO" sz="1100" baseline="0">
              <a:solidFill>
                <a:schemeClr val="dk1"/>
              </a:solidFill>
              <a:effectLst/>
              <a:latin typeface="+mn-lt"/>
              <a:ea typeface="+mn-ea"/>
              <a:cs typeface="+mn-cs"/>
            </a:rPr>
            <a:t>og </a:t>
          </a:r>
          <a:r>
            <a:rPr lang="nb-NO" sz="1100" u="sng" baseline="0">
              <a:solidFill>
                <a:schemeClr val="dk1"/>
              </a:solidFill>
              <a:effectLst/>
              <a:latin typeface="+mn-lt"/>
              <a:ea typeface="+mn-ea"/>
              <a:cs typeface="+mn-cs"/>
            </a:rPr>
            <a:t>aldri under 30</a:t>
          </a:r>
          <a:r>
            <a:rPr lang="nb-NO" sz="1100" baseline="0">
              <a:solidFill>
                <a:schemeClr val="dk1"/>
              </a:solidFill>
              <a:effectLst/>
              <a:latin typeface="+mn-lt"/>
              <a:ea typeface="+mn-ea"/>
              <a:cs typeface="+mn-cs"/>
            </a:rPr>
            <a:t>% for at vomma skal fungere godt. </a:t>
          </a:r>
        </a:p>
        <a:p>
          <a:endParaRPr lang="nb-NO" sz="1100" baseline="0">
            <a:solidFill>
              <a:schemeClr val="dk1"/>
            </a:solidFill>
            <a:effectLst/>
            <a:latin typeface="+mn-lt"/>
            <a:ea typeface="+mn-ea"/>
            <a:cs typeface="+mn-cs"/>
          </a:endParaRPr>
        </a:p>
        <a:p>
          <a:r>
            <a:rPr lang="nb-NO" sz="1100" baseline="0"/>
            <a:t>4) </a:t>
          </a:r>
        </a:p>
        <a:p>
          <a:r>
            <a:rPr lang="nb-NO" sz="1100" baseline="0"/>
            <a:t>Gå inn på "Rapport" og sjekk om du har nok grovfôr.  Juster  evt. planen med innkjøpt grovfôr eller reduser grovfôrforbruket med å justere med  korrigeringsfaktoren. Da må ein gjera merksam på at ein sannsynleg vis ikkje har nok grovfôr til appetitt-fôring. På "rapport" er det teke omsyn til fôrspillet du har lagt inn under "Planopplysninger". Er det f.eks. 3% så vil grovfôrforbruket vera 3% høgare enn under "planlegging". </a:t>
          </a:r>
        </a:p>
        <a:p>
          <a:endParaRPr lang="nb-NO" sz="1100" baseline="0"/>
        </a:p>
        <a:p>
          <a:r>
            <a:rPr lang="nb-NO" sz="1100" baseline="0"/>
            <a:t>5)</a:t>
          </a:r>
        </a:p>
        <a:p>
          <a:r>
            <a:rPr lang="nb-NO" sz="1100" baseline="0"/>
            <a:t>Dersom du har mineralanalyse, så kan du til slutt gå inn på "Mineraldekning" og leggje inn innhaldet av makro- og mikromineral i grovfôret du skal bruke gjennom vinteren. Sjekk om det er dekning frå grovfôret og kraftfôret du planlegg å bruke. Dersom det er manglar, så vel du tilskotsfôr ved å leggje inn nummeret til tilskotsfôret (tabell på arket Aktuelle fôriddel) i kolonne B og så legg du inn g/dag i kolonne A. Du kan bruke to tilskotsfôr f.eks. saltslikkestein og ei mineral-blanding. Prøv deg fram med type og mengde til du får god dekning. </a:t>
          </a:r>
        </a:p>
        <a:p>
          <a:endParaRPr lang="nb-NO" sz="1100" baseline="0"/>
        </a:p>
        <a:p>
          <a:r>
            <a:rPr lang="nb-NO" sz="1100" baseline="0"/>
            <a:t>LYKKE TIL MED FÔRPLANLEGGINGA!</a:t>
          </a:r>
        </a:p>
        <a:p>
          <a:endParaRPr lang="nb-NO" sz="1100" baseline="0"/>
        </a:p>
        <a:p>
          <a:r>
            <a:rPr lang="nb-NO" sz="1100" baseline="0"/>
            <a:t>Ikkje nøl med å ta kontakt med ein småferådgjevar i Nortura om du lurar på noko.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815643</xdr:colOff>
      <xdr:row>0</xdr:row>
      <xdr:rowOff>66676</xdr:rowOff>
    </xdr:from>
    <xdr:to>
      <xdr:col>12</xdr:col>
      <xdr:colOff>676275</xdr:colOff>
      <xdr:row>9</xdr:row>
      <xdr:rowOff>9525</xdr:rowOff>
    </xdr:to>
    <xdr:pic>
      <xdr:nvPicPr>
        <xdr:cNvPr id="4" name="Bilde 2">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25968" y="66676"/>
          <a:ext cx="1337007" cy="2105024"/>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266700</xdr:colOff>
      <xdr:row>2</xdr:row>
      <xdr:rowOff>28575</xdr:rowOff>
    </xdr:from>
    <xdr:to>
      <xdr:col>29</xdr:col>
      <xdr:colOff>276225</xdr:colOff>
      <xdr:row>3</xdr:row>
      <xdr:rowOff>209550</xdr:rowOff>
    </xdr:to>
    <xdr:sp macro="" textlink="">
      <xdr:nvSpPr>
        <xdr:cNvPr id="2" name="TekstSylinder 1">
          <a:extLst>
            <a:ext uri="{FF2B5EF4-FFF2-40B4-BE49-F238E27FC236}">
              <a16:creationId xmlns:a16="http://schemas.microsoft.com/office/drawing/2014/main" id="{00000000-0008-0000-0600-000002000000}"/>
            </a:ext>
          </a:extLst>
        </xdr:cNvPr>
        <xdr:cNvSpPr txBox="1"/>
      </xdr:nvSpPr>
      <xdr:spPr>
        <a:xfrm>
          <a:off x="17535525" y="485775"/>
          <a:ext cx="299085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000" b="1"/>
            <a:t>Mineral og vitaminbehov</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13</xdr:row>
      <xdr:rowOff>28575</xdr:rowOff>
    </xdr:from>
    <xdr:to>
      <xdr:col>7</xdr:col>
      <xdr:colOff>704850</xdr:colOff>
      <xdr:row>71</xdr:row>
      <xdr:rowOff>142875</xdr:rowOff>
    </xdr:to>
    <xdr:pic>
      <xdr:nvPicPr>
        <xdr:cNvPr id="2" name="Bild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05075"/>
          <a:ext cx="8067675" cy="11163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2</xdr:col>
      <xdr:colOff>142875</xdr:colOff>
      <xdr:row>1</xdr:row>
      <xdr:rowOff>38100</xdr:rowOff>
    </xdr:from>
    <xdr:ext cx="857250" cy="4800600"/>
    <xdr:pic>
      <xdr:nvPicPr>
        <xdr:cNvPr id="2" name="Bilde 2">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0425" y="9277350"/>
          <a:ext cx="857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3</xdr:col>
      <xdr:colOff>333374</xdr:colOff>
      <xdr:row>2</xdr:row>
      <xdr:rowOff>28575</xdr:rowOff>
    </xdr:from>
    <xdr:to>
      <xdr:col>6</xdr:col>
      <xdr:colOff>325436</xdr:colOff>
      <xdr:row>6</xdr:row>
      <xdr:rowOff>4123</xdr:rowOff>
    </xdr:to>
    <xdr:sp macro="" textlink="">
      <xdr:nvSpPr>
        <xdr:cNvPr id="3" name="Text Box 5">
          <a:extLst>
            <a:ext uri="{FF2B5EF4-FFF2-40B4-BE49-F238E27FC236}">
              <a16:creationId xmlns:a16="http://schemas.microsoft.com/office/drawing/2014/main" id="{00000000-0008-0000-0800-000003000000}"/>
            </a:ext>
          </a:extLst>
        </xdr:cNvPr>
        <xdr:cNvSpPr txBox="1">
          <a:spLocks noChangeArrowheads="1"/>
        </xdr:cNvSpPr>
      </xdr:nvSpPr>
      <xdr:spPr bwMode="auto">
        <a:xfrm>
          <a:off x="4352924" y="9467850"/>
          <a:ext cx="2278062" cy="775648"/>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spcBef>
              <a:spcPct val="50000"/>
            </a:spcBef>
          </a:pPr>
          <a:r>
            <a:rPr lang="nb-NO" sz="1800" b="1"/>
            <a:t>Bladstadie </a:t>
          </a:r>
          <a:br>
            <a:rPr lang="nb-NO" sz="1800" b="1"/>
          </a:br>
          <a:r>
            <a:rPr lang="nb-NO" sz="1800"/>
            <a:t>(berre blad) </a:t>
          </a:r>
        </a:p>
      </xdr:txBody>
    </xdr:sp>
    <xdr:clientData/>
  </xdr:twoCellAnchor>
  <xdr:twoCellAnchor>
    <xdr:from>
      <xdr:col>3</xdr:col>
      <xdr:colOff>266699</xdr:colOff>
      <xdr:row>8</xdr:row>
      <xdr:rowOff>104775</xdr:rowOff>
    </xdr:from>
    <xdr:to>
      <xdr:col>8</xdr:col>
      <xdr:colOff>112711</xdr:colOff>
      <xdr:row>11</xdr:row>
      <xdr:rowOff>60186</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4286249" y="10744200"/>
          <a:ext cx="3446462" cy="55548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lnSpc>
              <a:spcPts val="1600"/>
            </a:lnSpc>
            <a:spcBef>
              <a:spcPct val="50000"/>
            </a:spcBef>
          </a:pPr>
          <a:r>
            <a:rPr lang="nb-NO" sz="1800" b="1"/>
            <a:t>Byrjande skyting </a:t>
          </a:r>
          <a:br>
            <a:rPr lang="nb-NO" sz="1800" b="1"/>
          </a:br>
          <a:r>
            <a:rPr lang="nb-NO" sz="1800"/>
            <a:t>(Ein del av aksa synleg på minst 10% av skota)</a:t>
          </a:r>
        </a:p>
      </xdr:txBody>
    </xdr:sp>
    <xdr:clientData/>
  </xdr:twoCellAnchor>
  <xdr:twoCellAnchor>
    <xdr:from>
      <xdr:col>3</xdr:col>
      <xdr:colOff>161925</xdr:colOff>
      <xdr:row>16</xdr:row>
      <xdr:rowOff>0</xdr:rowOff>
    </xdr:from>
    <xdr:to>
      <xdr:col>8</xdr:col>
      <xdr:colOff>587375</xdr:colOff>
      <xdr:row>18</xdr:row>
      <xdr:rowOff>250686</xdr:rowOff>
    </xdr:to>
    <xdr:sp macro="" textlink="">
      <xdr:nvSpPr>
        <xdr:cNvPr id="5" name="Text Box 7">
          <a:extLst>
            <a:ext uri="{FF2B5EF4-FFF2-40B4-BE49-F238E27FC236}">
              <a16:creationId xmlns:a16="http://schemas.microsoft.com/office/drawing/2014/main" id="{00000000-0008-0000-0800-000005000000}"/>
            </a:ext>
          </a:extLst>
        </xdr:cNvPr>
        <xdr:cNvSpPr txBox="1">
          <a:spLocks noChangeArrowheads="1"/>
        </xdr:cNvSpPr>
      </xdr:nvSpPr>
      <xdr:spPr bwMode="auto">
        <a:xfrm>
          <a:off x="4181475" y="12239625"/>
          <a:ext cx="3816350" cy="603111"/>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lnSpc>
              <a:spcPts val="1600"/>
            </a:lnSpc>
            <a:spcBef>
              <a:spcPct val="50000"/>
            </a:spcBef>
          </a:pPr>
          <a:r>
            <a:rPr lang="nb-NO" sz="1800" b="1"/>
            <a:t>Skyting </a:t>
          </a:r>
          <a:br>
            <a:rPr lang="nb-NO" sz="1800"/>
          </a:br>
          <a:r>
            <a:rPr lang="nb-NO" sz="1800"/>
            <a:t>(Halve akset synleg på minst </a:t>
          </a:r>
          <a:br>
            <a:rPr lang="nb-NO" sz="1800"/>
          </a:br>
          <a:r>
            <a:rPr lang="nb-NO" sz="1800"/>
            <a:t>50% av skota)</a:t>
          </a:r>
        </a:p>
      </xdr:txBody>
    </xdr:sp>
    <xdr:clientData/>
  </xdr:twoCellAnchor>
  <xdr:twoCellAnchor>
    <xdr:from>
      <xdr:col>3</xdr:col>
      <xdr:colOff>95250</xdr:colOff>
      <xdr:row>20</xdr:row>
      <xdr:rowOff>133350</xdr:rowOff>
    </xdr:from>
    <xdr:to>
      <xdr:col>8</xdr:col>
      <xdr:colOff>1023938</xdr:colOff>
      <xdr:row>24</xdr:row>
      <xdr:rowOff>107655</xdr:rowOff>
    </xdr:to>
    <xdr:sp macro="" textlink="">
      <xdr:nvSpPr>
        <xdr:cNvPr id="6" name="Text Box 8">
          <a:extLst>
            <a:ext uri="{FF2B5EF4-FFF2-40B4-BE49-F238E27FC236}">
              <a16:creationId xmlns:a16="http://schemas.microsoft.com/office/drawing/2014/main" id="{00000000-0008-0000-0800-000006000000}"/>
            </a:ext>
          </a:extLst>
        </xdr:cNvPr>
        <xdr:cNvSpPr txBox="1">
          <a:spLocks noChangeArrowheads="1"/>
        </xdr:cNvSpPr>
      </xdr:nvSpPr>
      <xdr:spPr bwMode="auto">
        <a:xfrm>
          <a:off x="4114800" y="13173075"/>
          <a:ext cx="3881438" cy="77440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spcBef>
              <a:spcPct val="50000"/>
            </a:spcBef>
          </a:pPr>
          <a:r>
            <a:rPr lang="nb-NO" sz="1800" b="1"/>
            <a:t>Full skyting </a:t>
          </a:r>
          <a:br>
            <a:rPr lang="nb-NO" sz="1800"/>
          </a:br>
          <a:r>
            <a:rPr lang="nb-NO" sz="1800"/>
            <a:t>(aksberande strå synleg på </a:t>
          </a:r>
          <a:br>
            <a:rPr lang="nb-NO" sz="1800"/>
          </a:br>
          <a:r>
            <a:rPr lang="nb-NO" sz="1800"/>
            <a:t>50% av skota)</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N20" sqref="N20"/>
    </sheetView>
  </sheetViews>
  <sheetFormatPr baseColWidth="10" defaultColWidth="11.42578125" defaultRowHeight="15" x14ac:dyDescent="0.25"/>
  <sheetData/>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7"/>
  <sheetViews>
    <sheetView workbookViewId="0">
      <selection activeCell="H7" sqref="H7"/>
    </sheetView>
  </sheetViews>
  <sheetFormatPr baseColWidth="10" defaultColWidth="11.42578125" defaultRowHeight="15" x14ac:dyDescent="0.25"/>
  <cols>
    <col min="2" max="2" width="59.140625" customWidth="1"/>
    <col min="3" max="3" width="16.85546875" customWidth="1"/>
    <col min="7" max="7" width="36.140625" customWidth="1"/>
  </cols>
  <sheetData>
    <row r="1" spans="1:10" ht="23.25" x14ac:dyDescent="0.35">
      <c r="A1" s="117"/>
      <c r="B1" s="33" t="s">
        <v>298</v>
      </c>
      <c r="C1" s="34"/>
      <c r="D1" s="34"/>
      <c r="E1" s="34"/>
      <c r="F1" s="34"/>
      <c r="G1" s="28"/>
      <c r="J1" s="117"/>
    </row>
    <row r="2" spans="1:10" ht="18" x14ac:dyDescent="0.25">
      <c r="A2" s="117"/>
      <c r="B2" s="35"/>
      <c r="C2" s="36"/>
      <c r="D2" s="36"/>
      <c r="E2" s="36"/>
      <c r="F2" s="36"/>
      <c r="G2" s="37"/>
      <c r="H2" s="36"/>
      <c r="J2" s="117"/>
    </row>
    <row r="3" spans="1:10" ht="15.75" x14ac:dyDescent="0.25">
      <c r="A3" s="117"/>
      <c r="B3" s="38"/>
      <c r="C3" s="36"/>
      <c r="D3" s="36"/>
      <c r="E3" s="36"/>
      <c r="F3" s="36"/>
      <c r="G3" s="37"/>
      <c r="H3" s="36"/>
      <c r="J3" s="117"/>
    </row>
    <row r="4" spans="1:10" ht="15.75" x14ac:dyDescent="0.25">
      <c r="A4" s="117"/>
      <c r="B4" s="38"/>
      <c r="C4" s="36"/>
      <c r="D4" s="36"/>
      <c r="E4" s="36"/>
      <c r="F4" s="36"/>
      <c r="G4" s="37"/>
      <c r="H4" s="36"/>
      <c r="J4" s="117"/>
    </row>
    <row r="5" spans="1:10" ht="15.75" x14ac:dyDescent="0.25">
      <c r="A5" s="117"/>
      <c r="B5" s="38"/>
      <c r="C5" s="36"/>
      <c r="D5" s="36"/>
      <c r="E5" s="36"/>
      <c r="F5" s="36"/>
      <c r="G5" s="37"/>
      <c r="H5" s="36"/>
      <c r="J5" s="117"/>
    </row>
    <row r="6" spans="1:10" ht="15.75" x14ac:dyDescent="0.25">
      <c r="A6" s="117"/>
      <c r="B6" s="38"/>
      <c r="C6" s="36"/>
      <c r="D6" s="36"/>
      <c r="E6" s="36"/>
      <c r="F6" s="36"/>
      <c r="G6" s="37"/>
      <c r="H6" s="36"/>
      <c r="J6" s="117"/>
    </row>
    <row r="7" spans="1:10" ht="15.75" x14ac:dyDescent="0.25">
      <c r="A7" s="117"/>
      <c r="B7" s="38"/>
      <c r="C7" s="36"/>
      <c r="D7" s="36"/>
      <c r="E7" s="36"/>
      <c r="F7" s="36"/>
      <c r="G7" s="37"/>
      <c r="H7" s="36"/>
      <c r="J7" s="117"/>
    </row>
    <row r="8" spans="1:10" ht="15.75" x14ac:dyDescent="0.25">
      <c r="A8" s="117"/>
      <c r="B8" s="38"/>
      <c r="C8" s="36"/>
      <c r="D8" s="36"/>
      <c r="E8" s="36"/>
      <c r="F8" s="36"/>
      <c r="G8" s="37"/>
      <c r="H8" s="36"/>
      <c r="J8" s="117"/>
    </row>
    <row r="9" spans="1:10" ht="23.25" x14ac:dyDescent="0.35">
      <c r="A9" s="117"/>
      <c r="B9" s="39" t="s">
        <v>299</v>
      </c>
      <c r="C9" s="36"/>
      <c r="D9" s="36"/>
      <c r="E9" s="36"/>
      <c r="F9" s="36"/>
      <c r="G9" s="37"/>
      <c r="H9" s="36"/>
      <c r="J9" s="117"/>
    </row>
    <row r="10" spans="1:10" ht="23.25" x14ac:dyDescent="0.35">
      <c r="A10" s="117"/>
      <c r="B10" s="39" t="s">
        <v>300</v>
      </c>
      <c r="C10" s="36"/>
      <c r="D10" s="36"/>
      <c r="E10" s="36"/>
      <c r="F10" s="36"/>
      <c r="G10" s="37"/>
      <c r="H10" s="36"/>
      <c r="J10" s="117"/>
    </row>
    <row r="11" spans="1:10" ht="15.75" x14ac:dyDescent="0.25">
      <c r="A11" s="117"/>
      <c r="B11" s="36"/>
      <c r="C11" s="36"/>
      <c r="D11" s="36"/>
      <c r="E11" s="36"/>
      <c r="F11" s="36"/>
      <c r="G11" s="37"/>
      <c r="H11" s="36"/>
      <c r="J11" s="117"/>
    </row>
    <row r="12" spans="1:10" ht="23.25" x14ac:dyDescent="0.35">
      <c r="A12" s="117"/>
      <c r="B12" s="39" t="s">
        <v>301</v>
      </c>
      <c r="C12" s="36"/>
      <c r="D12" s="36"/>
      <c r="E12" s="36"/>
      <c r="F12" s="36"/>
      <c r="G12" s="37"/>
      <c r="H12" s="36"/>
      <c r="J12" s="117"/>
    </row>
    <row r="13" spans="1:10" ht="23.25" x14ac:dyDescent="0.35">
      <c r="A13" s="117"/>
      <c r="B13" s="39" t="s">
        <v>302</v>
      </c>
      <c r="C13" s="36"/>
      <c r="D13" s="36"/>
      <c r="E13" s="36"/>
      <c r="F13" s="36"/>
      <c r="G13" s="37"/>
      <c r="H13" s="36"/>
      <c r="J13" s="117"/>
    </row>
    <row r="14" spans="1:10" ht="15.75" x14ac:dyDescent="0.25">
      <c r="A14" s="117"/>
      <c r="B14" s="36"/>
      <c r="C14" s="36"/>
      <c r="D14" s="36"/>
      <c r="E14" s="36"/>
      <c r="F14" s="36"/>
      <c r="G14" s="37"/>
      <c r="H14" s="36"/>
      <c r="J14" s="117"/>
    </row>
    <row r="15" spans="1:10" ht="15.75" x14ac:dyDescent="0.25">
      <c r="A15" s="117"/>
      <c r="B15" s="38"/>
      <c r="C15" s="36"/>
      <c r="D15" s="36"/>
      <c r="E15" s="36"/>
      <c r="F15" s="36"/>
      <c r="G15" s="37"/>
      <c r="H15" s="36"/>
      <c r="J15" s="117"/>
    </row>
    <row r="16" spans="1:10" ht="15.75" x14ac:dyDescent="0.25">
      <c r="A16" s="117"/>
      <c r="B16" s="40" t="s">
        <v>303</v>
      </c>
      <c r="C16" s="36"/>
      <c r="D16" s="36"/>
      <c r="E16" s="36"/>
      <c r="F16" s="36"/>
      <c r="G16" s="37"/>
      <c r="H16" s="36"/>
      <c r="J16" s="117"/>
    </row>
    <row r="17" spans="1:10" ht="15.75" x14ac:dyDescent="0.25">
      <c r="A17" s="117"/>
      <c r="B17" s="38"/>
      <c r="C17" s="36"/>
      <c r="D17" s="36"/>
      <c r="E17" s="36"/>
      <c r="F17" s="36"/>
      <c r="G17" s="37"/>
      <c r="H17" s="36"/>
      <c r="J17" s="117"/>
    </row>
    <row r="18" spans="1:10" ht="15.75" x14ac:dyDescent="0.25">
      <c r="A18" s="117"/>
      <c r="B18" s="38"/>
      <c r="C18" s="36"/>
      <c r="D18" s="36"/>
      <c r="E18" s="36"/>
      <c r="F18" s="36"/>
      <c r="G18" s="37"/>
      <c r="H18" s="36"/>
      <c r="J18" s="117"/>
    </row>
    <row r="19" spans="1:10" ht="23.25" x14ac:dyDescent="0.35">
      <c r="A19" s="117"/>
      <c r="B19" s="39" t="s">
        <v>304</v>
      </c>
      <c r="C19" s="36"/>
      <c r="D19" s="36"/>
      <c r="E19" s="36"/>
      <c r="F19" s="36"/>
      <c r="G19" s="37"/>
      <c r="H19" s="36"/>
      <c r="J19" s="117"/>
    </row>
    <row r="20" spans="1:10" ht="23.25" x14ac:dyDescent="0.35">
      <c r="A20" s="117"/>
      <c r="B20" s="39" t="s">
        <v>305</v>
      </c>
      <c r="C20" s="36"/>
      <c r="D20" s="36"/>
      <c r="E20" s="36"/>
      <c r="F20" s="36"/>
      <c r="G20" s="37"/>
      <c r="H20" s="36"/>
      <c r="J20" s="117"/>
    </row>
    <row r="21" spans="1:10" ht="15.75" x14ac:dyDescent="0.25">
      <c r="A21" s="117"/>
      <c r="B21" s="38"/>
      <c r="C21" s="36"/>
      <c r="D21" s="36"/>
      <c r="E21" s="36"/>
      <c r="F21" s="36"/>
      <c r="G21" s="37"/>
      <c r="H21" s="36"/>
      <c r="J21" s="117"/>
    </row>
    <row r="22" spans="1:10" ht="15.75" x14ac:dyDescent="0.25">
      <c r="A22" s="117"/>
      <c r="B22" s="36"/>
      <c r="C22" s="36"/>
      <c r="D22" s="36"/>
      <c r="E22" s="36"/>
      <c r="F22" s="36"/>
      <c r="G22" s="37"/>
      <c r="H22" s="36"/>
      <c r="J22" s="117"/>
    </row>
    <row r="23" spans="1:10" ht="15.75" x14ac:dyDescent="0.25">
      <c r="A23" s="117"/>
      <c r="B23" s="36"/>
      <c r="C23" s="36"/>
      <c r="D23" s="36"/>
      <c r="E23" s="36"/>
      <c r="F23" s="36"/>
      <c r="G23" s="37"/>
      <c r="H23" s="36"/>
      <c r="J23" s="117"/>
    </row>
    <row r="24" spans="1:10" ht="23.25" x14ac:dyDescent="0.35">
      <c r="A24" s="117"/>
      <c r="B24" s="39" t="s">
        <v>306</v>
      </c>
      <c r="C24" s="36"/>
      <c r="D24" s="36"/>
      <c r="E24" s="36"/>
      <c r="F24" s="36"/>
      <c r="G24" s="37"/>
      <c r="H24" s="36"/>
      <c r="J24" s="117"/>
    </row>
    <row r="25" spans="1:10" ht="23.25" x14ac:dyDescent="0.35">
      <c r="A25" s="117"/>
      <c r="B25" s="39" t="s">
        <v>307</v>
      </c>
      <c r="C25" s="36"/>
      <c r="D25" s="36"/>
      <c r="E25" s="36"/>
      <c r="F25" s="36"/>
      <c r="G25" s="37"/>
      <c r="H25" s="36"/>
      <c r="J25" s="117"/>
    </row>
    <row r="26" spans="1:10" ht="15.75" x14ac:dyDescent="0.25">
      <c r="A26" s="117"/>
      <c r="B26" s="38"/>
      <c r="C26" s="36"/>
      <c r="D26" s="36"/>
      <c r="E26" s="36"/>
      <c r="F26" s="36"/>
      <c r="G26" s="37"/>
      <c r="H26" s="36"/>
      <c r="J26" s="117"/>
    </row>
    <row r="27" spans="1:10" ht="15.75" x14ac:dyDescent="0.25">
      <c r="A27" s="117"/>
      <c r="B27" s="38"/>
      <c r="C27" s="36"/>
      <c r="D27" s="36"/>
      <c r="E27" s="36"/>
      <c r="F27" s="36"/>
      <c r="G27" s="37"/>
      <c r="H27" s="36"/>
      <c r="J27" s="117"/>
    </row>
    <row r="28" spans="1:10" ht="23.25" x14ac:dyDescent="0.35">
      <c r="A28" s="117"/>
      <c r="B28" s="39" t="s">
        <v>308</v>
      </c>
      <c r="C28" s="36"/>
      <c r="D28" s="36"/>
      <c r="E28" s="36"/>
      <c r="F28" s="36"/>
      <c r="G28" s="37"/>
      <c r="H28" s="36"/>
      <c r="J28" s="117"/>
    </row>
    <row r="29" spans="1:10" ht="23.25" x14ac:dyDescent="0.35">
      <c r="A29" s="117"/>
      <c r="B29" s="41" t="s">
        <v>309</v>
      </c>
      <c r="C29" s="36"/>
      <c r="D29" s="36"/>
      <c r="E29" s="36"/>
      <c r="F29" s="36"/>
      <c r="G29" s="37"/>
      <c r="H29" s="36"/>
      <c r="J29" s="117"/>
    </row>
    <row r="30" spans="1:10" ht="15.75" x14ac:dyDescent="0.25">
      <c r="A30" s="117"/>
      <c r="B30" s="36"/>
      <c r="C30" s="36"/>
      <c r="D30" s="36"/>
      <c r="E30" s="36"/>
      <c r="F30" s="36"/>
      <c r="G30" s="37"/>
      <c r="H30" s="36"/>
      <c r="J30" s="117"/>
    </row>
    <row r="31" spans="1:10" ht="15.75" x14ac:dyDescent="0.25">
      <c r="A31" s="117"/>
      <c r="B31" s="38"/>
      <c r="C31" s="36"/>
      <c r="D31" s="36"/>
      <c r="E31" s="36"/>
      <c r="F31" s="36"/>
      <c r="G31" s="37"/>
      <c r="H31" s="36"/>
      <c r="J31" s="117"/>
    </row>
    <row r="32" spans="1:10" ht="23.25" x14ac:dyDescent="0.35">
      <c r="A32" s="117"/>
      <c r="B32" s="39" t="s">
        <v>310</v>
      </c>
      <c r="C32" s="36"/>
      <c r="D32" s="36"/>
      <c r="E32" s="36"/>
      <c r="F32" s="36"/>
      <c r="G32" s="37"/>
      <c r="H32" s="36"/>
      <c r="J32" s="117"/>
    </row>
    <row r="33" spans="1:10" ht="23.25" x14ac:dyDescent="0.35">
      <c r="A33" s="117"/>
      <c r="B33" s="42" t="s">
        <v>311</v>
      </c>
      <c r="C33" s="43"/>
      <c r="D33" s="43"/>
      <c r="E33" s="43"/>
      <c r="F33" s="43"/>
      <c r="G33" s="44"/>
      <c r="H33" s="36"/>
      <c r="J33" s="117"/>
    </row>
    <row r="34" spans="1:10" ht="15.75" x14ac:dyDescent="0.25">
      <c r="A34" s="117"/>
      <c r="B34" s="117"/>
      <c r="C34" s="117"/>
      <c r="D34" s="117"/>
      <c r="E34" s="117"/>
      <c r="F34" s="117"/>
      <c r="G34" s="117"/>
      <c r="H34" s="117"/>
      <c r="I34" s="117"/>
      <c r="J34" s="117"/>
    </row>
    <row r="35" spans="1:10" ht="15.75" x14ac:dyDescent="0.25">
      <c r="A35" s="117"/>
      <c r="B35" s="117"/>
      <c r="C35" s="117"/>
      <c r="D35" s="117"/>
      <c r="E35" s="117"/>
      <c r="F35" s="117"/>
      <c r="G35" s="117"/>
      <c r="H35" s="117"/>
      <c r="I35" s="117"/>
      <c r="J35" s="117"/>
    </row>
    <row r="36" spans="1:10" ht="15.75" x14ac:dyDescent="0.25">
      <c r="A36" s="117"/>
      <c r="B36" s="117"/>
      <c r="C36" s="117"/>
      <c r="D36" s="117"/>
      <c r="E36" s="117"/>
      <c r="F36" s="117"/>
      <c r="G36" s="117"/>
      <c r="H36" s="117"/>
      <c r="I36" s="117"/>
      <c r="J36" s="117"/>
    </row>
    <row r="37" spans="1:10" ht="15.75" x14ac:dyDescent="0.25">
      <c r="A37" s="117"/>
      <c r="B37" s="117"/>
      <c r="C37" s="117"/>
      <c r="D37" s="117"/>
      <c r="E37" s="117"/>
      <c r="F37" s="117"/>
      <c r="G37" s="117"/>
      <c r="H37" s="117"/>
      <c r="I37" s="117"/>
      <c r="J37" s="117"/>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M48" sqref="M48"/>
    </sheetView>
  </sheetViews>
  <sheetFormatPr baseColWidth="10" defaultColWidth="11.42578125"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3"/>
  <sheetViews>
    <sheetView tabSelected="1" zoomScale="80" zoomScaleNormal="80" workbookViewId="0">
      <selection activeCell="D27" sqref="D27"/>
    </sheetView>
  </sheetViews>
  <sheetFormatPr baseColWidth="10" defaultColWidth="11.42578125" defaultRowHeight="23.25" x14ac:dyDescent="0.35"/>
  <cols>
    <col min="1" max="1" width="4.42578125" style="89" customWidth="1"/>
    <col min="2" max="2" width="38.5703125" style="89" customWidth="1"/>
    <col min="3" max="3" width="27" style="89" customWidth="1"/>
    <col min="4" max="4" width="19.85546875" style="89" customWidth="1"/>
    <col min="5" max="5" width="22" style="89" customWidth="1"/>
    <col min="6" max="6" width="25.42578125" style="89" customWidth="1"/>
    <col min="7" max="9" width="11.42578125" style="89"/>
    <col min="10" max="10" width="13.7109375" style="89" customWidth="1"/>
  </cols>
  <sheetData>
    <row r="1" spans="1:12" ht="27.75" customHeight="1" x14ac:dyDescent="0.45">
      <c r="A1" s="99"/>
      <c r="B1" s="114" t="s">
        <v>0</v>
      </c>
      <c r="C1" s="303"/>
      <c r="D1" s="20"/>
      <c r="E1" s="99"/>
      <c r="F1" s="99"/>
      <c r="G1" s="99"/>
      <c r="H1" s="99"/>
    </row>
    <row r="2" spans="1:12" ht="28.5" x14ac:dyDescent="0.45">
      <c r="A2" s="99"/>
      <c r="B2" s="137" t="s">
        <v>1</v>
      </c>
      <c r="C2" s="303"/>
      <c r="D2" s="138"/>
      <c r="E2" s="99"/>
      <c r="F2" s="99"/>
      <c r="G2" s="99"/>
      <c r="H2" s="99"/>
    </row>
    <row r="3" spans="1:12" ht="28.5" x14ac:dyDescent="0.45">
      <c r="A3" s="99"/>
      <c r="B3" s="137" t="s">
        <v>2</v>
      </c>
      <c r="C3" s="303"/>
      <c r="D3" s="138" t="s">
        <v>3</v>
      </c>
      <c r="E3" s="99"/>
      <c r="F3" s="99"/>
      <c r="G3" s="99"/>
      <c r="H3" s="99"/>
    </row>
    <row r="4" spans="1:12" ht="28.5" x14ac:dyDescent="0.45">
      <c r="A4" s="99"/>
      <c r="B4" s="139" t="s">
        <v>4</v>
      </c>
      <c r="C4" s="303"/>
      <c r="D4" s="303"/>
      <c r="E4" s="99"/>
      <c r="F4" s="99"/>
      <c r="G4" s="99"/>
      <c r="H4" s="99"/>
    </row>
    <row r="5" spans="1:12" ht="28.5" x14ac:dyDescent="0.45">
      <c r="A5" s="99"/>
      <c r="B5" s="99"/>
      <c r="C5" s="99"/>
      <c r="D5" s="99"/>
      <c r="E5" s="99"/>
      <c r="F5" s="99"/>
      <c r="G5" s="99"/>
      <c r="H5" s="99"/>
      <c r="L5" s="487"/>
    </row>
    <row r="6" spans="1:12" ht="28.5" x14ac:dyDescent="0.45">
      <c r="A6" s="99"/>
      <c r="B6" s="90" t="s">
        <v>5</v>
      </c>
      <c r="C6" s="303">
        <v>145</v>
      </c>
      <c r="D6" s="99"/>
      <c r="E6" s="99"/>
      <c r="F6" s="99"/>
      <c r="G6" s="99"/>
      <c r="H6" s="99"/>
      <c r="L6" s="487"/>
    </row>
    <row r="7" spans="1:12" ht="28.5" x14ac:dyDescent="0.45">
      <c r="A7" s="99"/>
      <c r="B7" s="90" t="s">
        <v>6</v>
      </c>
      <c r="C7" s="303">
        <v>59</v>
      </c>
      <c r="D7" s="99"/>
      <c r="E7" s="99"/>
      <c r="F7" s="99"/>
      <c r="G7" s="99"/>
      <c r="H7" s="99"/>
    </row>
    <row r="8" spans="1:12" ht="28.5" x14ac:dyDescent="0.45">
      <c r="A8" s="99"/>
      <c r="B8" s="91" t="s">
        <v>7</v>
      </c>
      <c r="C8" s="304">
        <v>45209</v>
      </c>
      <c r="D8" s="91" t="s">
        <v>8</v>
      </c>
      <c r="E8" s="99"/>
      <c r="F8" s="99"/>
      <c r="G8" s="99"/>
      <c r="H8" s="99"/>
    </row>
    <row r="9" spans="1:12" ht="28.5" x14ac:dyDescent="0.45">
      <c r="A9" s="99"/>
      <c r="B9" s="92" t="s">
        <v>9</v>
      </c>
      <c r="C9" s="304">
        <v>45252</v>
      </c>
      <c r="D9" s="93">
        <f>C9-C8</f>
        <v>43</v>
      </c>
      <c r="E9" s="99"/>
      <c r="F9" s="91" t="s">
        <v>10</v>
      </c>
      <c r="G9" s="99"/>
      <c r="H9" s="99"/>
    </row>
    <row r="10" spans="1:12" ht="28.5" x14ac:dyDescent="0.45">
      <c r="A10" s="99"/>
      <c r="B10" s="92" t="s">
        <v>11</v>
      </c>
      <c r="C10" s="94">
        <f>C11-56</f>
        <v>45345</v>
      </c>
      <c r="D10" s="93">
        <f>C10-C9</f>
        <v>93</v>
      </c>
      <c r="E10" s="99"/>
      <c r="F10" s="95" t="s">
        <v>12</v>
      </c>
      <c r="G10" s="99"/>
      <c r="H10" s="99"/>
    </row>
    <row r="11" spans="1:12" ht="28.5" x14ac:dyDescent="0.45">
      <c r="A11" s="99"/>
      <c r="B11" s="92" t="s">
        <v>13</v>
      </c>
      <c r="C11" s="94">
        <f>C9+149</f>
        <v>45401</v>
      </c>
      <c r="D11" s="93">
        <f>C11-C10</f>
        <v>56</v>
      </c>
      <c r="E11" s="99"/>
      <c r="F11" s="305">
        <v>0.03</v>
      </c>
      <c r="G11" s="99"/>
      <c r="H11" s="99"/>
    </row>
    <row r="12" spans="1:12" ht="28.5" x14ac:dyDescent="0.45">
      <c r="A12" s="99"/>
      <c r="B12" s="95" t="s">
        <v>14</v>
      </c>
      <c r="C12" s="304">
        <v>45422</v>
      </c>
      <c r="D12" s="96">
        <f>C12-C11</f>
        <v>21</v>
      </c>
      <c r="E12" s="99"/>
      <c r="F12" s="99"/>
      <c r="G12" s="99"/>
      <c r="H12" s="99"/>
    </row>
    <row r="13" spans="1:12" ht="28.5" x14ac:dyDescent="0.45">
      <c r="A13" s="99"/>
      <c r="B13" s="97"/>
      <c r="C13" s="90" t="s">
        <v>15</v>
      </c>
      <c r="D13" s="98">
        <f>SUM(D9:D12)</f>
        <v>213</v>
      </c>
      <c r="E13" s="99"/>
      <c r="F13" s="99"/>
      <c r="G13" s="100"/>
      <c r="H13" s="100"/>
      <c r="I13"/>
      <c r="J13"/>
    </row>
    <row r="14" spans="1:12" ht="28.5" x14ac:dyDescent="0.45">
      <c r="A14" s="99"/>
      <c r="B14" s="99"/>
      <c r="C14" s="99"/>
      <c r="D14" s="99"/>
      <c r="E14" s="99"/>
      <c r="F14" s="99"/>
      <c r="G14" s="99"/>
      <c r="H14" s="99"/>
    </row>
    <row r="15" spans="1:12" ht="28.5" x14ac:dyDescent="0.45">
      <c r="A15" s="99"/>
      <c r="B15" s="101" t="s">
        <v>16</v>
      </c>
      <c r="C15" s="99"/>
      <c r="D15" s="101" t="s">
        <v>17</v>
      </c>
      <c r="E15" s="99"/>
      <c r="F15" s="99"/>
      <c r="G15" s="99"/>
      <c r="H15" s="99"/>
    </row>
    <row r="16" spans="1:12" ht="28.5" x14ac:dyDescent="0.45">
      <c r="A16" s="99"/>
      <c r="B16" s="102" t="s">
        <v>18</v>
      </c>
      <c r="C16" s="103"/>
      <c r="D16" s="303">
        <v>30</v>
      </c>
      <c r="E16" s="104" t="s">
        <v>19</v>
      </c>
      <c r="F16" s="105" t="s">
        <v>20</v>
      </c>
      <c r="G16" s="106" t="s">
        <v>21</v>
      </c>
      <c r="H16" s="99"/>
    </row>
    <row r="17" spans="1:8" ht="28.5" x14ac:dyDescent="0.45">
      <c r="A17" s="99"/>
      <c r="B17" s="90" t="s">
        <v>22</v>
      </c>
      <c r="C17" s="90" t="s">
        <v>23</v>
      </c>
      <c r="D17" s="306">
        <v>85</v>
      </c>
      <c r="E17" s="107">
        <f>0.034*D17^0.75</f>
        <v>0.95179432566789324</v>
      </c>
      <c r="F17" s="108">
        <f>E17*80</f>
        <v>76.143546053431464</v>
      </c>
      <c r="G17" s="101">
        <v>-20</v>
      </c>
      <c r="H17" s="99"/>
    </row>
    <row r="18" spans="1:8" ht="28.5" x14ac:dyDescent="0.45">
      <c r="A18" s="99"/>
      <c r="B18" s="90" t="s">
        <v>24</v>
      </c>
      <c r="C18" s="99"/>
      <c r="D18" s="99"/>
      <c r="E18" s="307">
        <v>0.4</v>
      </c>
      <c r="F18" s="108">
        <f>E18*70</f>
        <v>28</v>
      </c>
      <c r="G18" s="97"/>
      <c r="H18" s="99"/>
    </row>
    <row r="19" spans="1:8" ht="28.5" x14ac:dyDescent="0.45">
      <c r="A19" s="99"/>
      <c r="B19" s="99"/>
      <c r="C19" s="99"/>
      <c r="D19" s="109"/>
      <c r="E19" s="107">
        <f>E18+E17</f>
        <v>1.3517943256678933</v>
      </c>
      <c r="F19" s="108">
        <f>F17+F18</f>
        <v>104.14354605343146</v>
      </c>
      <c r="G19" s="97"/>
      <c r="H19" s="99"/>
    </row>
    <row r="20" spans="1:8" ht="28.5" x14ac:dyDescent="0.45">
      <c r="A20" s="99"/>
      <c r="B20" s="99"/>
      <c r="C20" s="99"/>
      <c r="D20" s="99"/>
      <c r="E20" s="99"/>
      <c r="F20" s="99"/>
      <c r="G20" s="97"/>
      <c r="H20" s="99"/>
    </row>
    <row r="21" spans="1:8" ht="28.5" x14ac:dyDescent="0.45">
      <c r="A21" s="99"/>
      <c r="B21" s="101" t="s">
        <v>16</v>
      </c>
      <c r="C21" s="99"/>
      <c r="D21" s="101" t="s">
        <v>17</v>
      </c>
      <c r="E21" s="99"/>
      <c r="F21" s="99"/>
      <c r="G21" s="99"/>
      <c r="H21" s="99"/>
    </row>
    <row r="22" spans="1:8" ht="28.5" x14ac:dyDescent="0.45">
      <c r="A22" s="99"/>
      <c r="B22" s="102" t="s">
        <v>25</v>
      </c>
      <c r="C22" s="103"/>
      <c r="D22" s="101">
        <f>C6-D16</f>
        <v>115</v>
      </c>
      <c r="E22" s="104" t="s">
        <v>19</v>
      </c>
      <c r="F22" s="105" t="s">
        <v>20</v>
      </c>
      <c r="G22" s="106" t="s">
        <v>21</v>
      </c>
      <c r="H22" s="99"/>
    </row>
    <row r="23" spans="1:8" ht="28.5" x14ac:dyDescent="0.45">
      <c r="A23" s="99"/>
      <c r="B23" s="90" t="s">
        <v>22</v>
      </c>
      <c r="C23" s="90" t="s">
        <v>23</v>
      </c>
      <c r="D23" s="101">
        <f>D17</f>
        <v>85</v>
      </c>
      <c r="E23" s="107">
        <f>0.034*D23^0.75</f>
        <v>0.95179432566789324</v>
      </c>
      <c r="F23" s="108">
        <f>E23*80</f>
        <v>76.143546053431464</v>
      </c>
      <c r="G23" s="101">
        <v>-20</v>
      </c>
      <c r="H23" s="99"/>
    </row>
    <row r="24" spans="1:8" ht="28.5" x14ac:dyDescent="0.45">
      <c r="A24" s="99"/>
      <c r="B24" s="99"/>
      <c r="C24" s="99"/>
      <c r="D24" s="99"/>
      <c r="E24" s="99"/>
      <c r="F24" s="99"/>
      <c r="G24" s="99"/>
      <c r="H24" s="99"/>
    </row>
    <row r="25" spans="1:8" ht="28.5" x14ac:dyDescent="0.45">
      <c r="A25" s="99"/>
      <c r="B25" s="99"/>
      <c r="C25" s="99"/>
      <c r="D25" s="99"/>
      <c r="E25" s="99"/>
      <c r="F25" s="99"/>
      <c r="G25" s="99"/>
      <c r="H25" s="99"/>
    </row>
    <row r="26" spans="1:8" ht="28.5" x14ac:dyDescent="0.45">
      <c r="A26" s="99"/>
      <c r="B26" s="17" t="s">
        <v>26</v>
      </c>
      <c r="C26" s="17" t="s">
        <v>27</v>
      </c>
      <c r="D26" s="17">
        <f>C7</f>
        <v>59</v>
      </c>
      <c r="E26" s="104" t="s">
        <v>19</v>
      </c>
      <c r="F26" s="105" t="s">
        <v>20</v>
      </c>
      <c r="G26" s="106" t="s">
        <v>21</v>
      </c>
      <c r="H26" s="99"/>
    </row>
    <row r="27" spans="1:8" ht="28.5" x14ac:dyDescent="0.45">
      <c r="A27" s="99"/>
      <c r="B27" s="99"/>
      <c r="C27" s="91" t="s">
        <v>28</v>
      </c>
      <c r="D27" s="303">
        <v>44</v>
      </c>
      <c r="E27" s="110">
        <f>0.034*D27^0.75</f>
        <v>0.58085592591732593</v>
      </c>
      <c r="F27" s="111">
        <f>E27*80</f>
        <v>46.468474073386076</v>
      </c>
      <c r="G27" s="101">
        <f>G17</f>
        <v>-20</v>
      </c>
      <c r="H27" s="99"/>
    </row>
    <row r="28" spans="1:8" ht="28.5" x14ac:dyDescent="0.45">
      <c r="A28" s="99"/>
      <c r="B28" s="99"/>
      <c r="C28" s="95" t="s">
        <v>29</v>
      </c>
      <c r="D28" s="303">
        <v>200</v>
      </c>
      <c r="E28" s="112">
        <f>(D28/1000)*3</f>
        <v>0.60000000000000009</v>
      </c>
      <c r="F28" s="95">
        <f>E28*100</f>
        <v>60.000000000000007</v>
      </c>
      <c r="G28" s="99"/>
      <c r="H28" s="99"/>
    </row>
    <row r="29" spans="1:8" ht="28.5" x14ac:dyDescent="0.45">
      <c r="A29" s="99"/>
      <c r="B29" s="99"/>
      <c r="C29" s="99"/>
      <c r="D29" s="90" t="s">
        <v>30</v>
      </c>
      <c r="E29" s="113">
        <f>E28+E27</f>
        <v>1.1808559259173261</v>
      </c>
      <c r="F29" s="98">
        <f>F28+F27</f>
        <v>106.46847407338609</v>
      </c>
      <c r="G29" s="99"/>
      <c r="H29" s="99"/>
    </row>
    <row r="30" spans="1:8" ht="28.5" x14ac:dyDescent="0.45">
      <c r="A30" s="99"/>
      <c r="B30" s="99"/>
      <c r="C30" s="99"/>
      <c r="D30" s="99"/>
      <c r="E30" s="99"/>
      <c r="F30" s="99"/>
      <c r="G30" s="97"/>
      <c r="H30" s="99"/>
    </row>
    <row r="31" spans="1:8" ht="28.5" x14ac:dyDescent="0.45">
      <c r="A31" s="99"/>
      <c r="B31" s="17" t="s">
        <v>31</v>
      </c>
      <c r="C31" s="18" t="s">
        <v>32</v>
      </c>
      <c r="D31" s="21"/>
      <c r="E31" s="21"/>
      <c r="F31" s="19"/>
      <c r="G31" s="16" t="s">
        <v>33</v>
      </c>
      <c r="H31" s="99"/>
    </row>
    <row r="32" spans="1:8" ht="28.5" x14ac:dyDescent="0.45">
      <c r="A32" s="99"/>
      <c r="B32" s="90" t="s">
        <v>34</v>
      </c>
      <c r="C32" s="3" t="s">
        <v>35</v>
      </c>
      <c r="D32" s="3" t="s">
        <v>36</v>
      </c>
      <c r="E32" s="3" t="s">
        <v>37</v>
      </c>
      <c r="F32" s="3" t="s">
        <v>38</v>
      </c>
      <c r="G32" s="140" t="s">
        <v>39</v>
      </c>
      <c r="H32" s="99"/>
    </row>
    <row r="33" spans="1:8" ht="28.5" x14ac:dyDescent="0.45">
      <c r="A33" s="99"/>
      <c r="B33" s="1">
        <v>1</v>
      </c>
      <c r="C33" s="7">
        <f>0.1+E17</f>
        <v>1.0517943256678932</v>
      </c>
      <c r="D33" s="10">
        <f>0.2+E17</f>
        <v>1.1517943256678933</v>
      </c>
      <c r="E33" s="10">
        <f>0.3+E17</f>
        <v>1.2517943256678932</v>
      </c>
      <c r="F33" s="13">
        <f>0.4+E17</f>
        <v>1.3517943256678933</v>
      </c>
      <c r="G33" s="306">
        <v>5</v>
      </c>
      <c r="H33" s="99"/>
    </row>
    <row r="34" spans="1:8" ht="28.5" x14ac:dyDescent="0.45">
      <c r="A34" s="99"/>
      <c r="B34" s="1">
        <v>2</v>
      </c>
      <c r="C34" s="8">
        <f>0.2+E17</f>
        <v>1.1517943256678933</v>
      </c>
      <c r="D34" s="11">
        <f>0.3+E17</f>
        <v>1.2517943256678932</v>
      </c>
      <c r="E34" s="11">
        <f>E17+0.6</f>
        <v>1.5517943256678932</v>
      </c>
      <c r="F34" s="14">
        <f>0.8+E17</f>
        <v>1.7517943256678934</v>
      </c>
      <c r="G34" s="306">
        <v>75</v>
      </c>
      <c r="H34" s="99"/>
    </row>
    <row r="35" spans="1:8" ht="28.5" x14ac:dyDescent="0.45">
      <c r="A35" s="99"/>
      <c r="B35" s="2">
        <v>3</v>
      </c>
      <c r="C35" s="9">
        <f>0.36+E17</f>
        <v>1.3117943256678932</v>
      </c>
      <c r="D35" s="12">
        <f>0.48+E17</f>
        <v>1.4317943256678931</v>
      </c>
      <c r="E35" s="12">
        <f>0.96+E17</f>
        <v>1.9117943256678931</v>
      </c>
      <c r="F35" s="15">
        <f>1+E17</f>
        <v>1.9517943256678931</v>
      </c>
      <c r="G35" s="90">
        <f>D22+D16-G33-G34</f>
        <v>65</v>
      </c>
      <c r="H35" s="99"/>
    </row>
    <row r="36" spans="1:8" ht="28.5" x14ac:dyDescent="0.45">
      <c r="A36" s="99"/>
      <c r="B36" s="99"/>
      <c r="C36" s="99"/>
      <c r="D36" s="99"/>
      <c r="E36" s="99"/>
      <c r="F36" s="99"/>
      <c r="G36" s="99"/>
      <c r="H36" s="99"/>
    </row>
    <row r="37" spans="1:8" ht="28.5" x14ac:dyDescent="0.45">
      <c r="A37" s="99"/>
      <c r="B37" s="99"/>
      <c r="C37" s="18" t="s">
        <v>40</v>
      </c>
      <c r="D37" s="21"/>
      <c r="E37" s="21"/>
      <c r="F37" s="19"/>
      <c r="G37" s="99"/>
      <c r="H37" s="99"/>
    </row>
    <row r="38" spans="1:8" ht="28.5" x14ac:dyDescent="0.45">
      <c r="A38" s="99"/>
      <c r="B38" s="90" t="s">
        <v>34</v>
      </c>
      <c r="C38" s="3" t="s">
        <v>41</v>
      </c>
      <c r="D38" s="3" t="s">
        <v>42</v>
      </c>
      <c r="E38" s="3" t="s">
        <v>43</v>
      </c>
      <c r="F38" s="3" t="s">
        <v>38</v>
      </c>
      <c r="G38" s="99"/>
      <c r="H38" s="99"/>
    </row>
    <row r="39" spans="1:8" ht="28.5" x14ac:dyDescent="0.45">
      <c r="A39" s="99"/>
      <c r="B39" s="1">
        <v>1</v>
      </c>
      <c r="C39" s="4">
        <f>(F17)+(0.1*95)</f>
        <v>85.643546053431464</v>
      </c>
      <c r="D39" s="4">
        <f>F17+(0.2*95)</f>
        <v>95.143546053431464</v>
      </c>
      <c r="E39" s="4">
        <f>F17+(0.3*95)</f>
        <v>104.64354605343146</v>
      </c>
      <c r="F39" s="5">
        <f>F17+(0.4*95)</f>
        <v>114.14354605343146</v>
      </c>
      <c r="G39" s="99"/>
      <c r="H39" s="99"/>
    </row>
    <row r="40" spans="1:8" ht="28.5" x14ac:dyDescent="0.45">
      <c r="A40" s="99"/>
      <c r="B40" s="1">
        <v>2</v>
      </c>
      <c r="C40" s="4">
        <f>(F17)+(0.2*95)</f>
        <v>95.143546053431464</v>
      </c>
      <c r="D40" s="4">
        <f>F17+(0.3*95)</f>
        <v>104.64354605343146</v>
      </c>
      <c r="E40" s="4">
        <f>F17+(0.6*95)</f>
        <v>133.14354605343146</v>
      </c>
      <c r="F40" s="5">
        <f>F17+(0.8*95)</f>
        <v>152.14354605343146</v>
      </c>
      <c r="G40" s="99"/>
      <c r="H40" s="99"/>
    </row>
    <row r="41" spans="1:8" ht="28.5" x14ac:dyDescent="0.45">
      <c r="A41" s="99"/>
      <c r="B41" s="2">
        <v>3</v>
      </c>
      <c r="C41" s="6">
        <f>(F17)+(0.3*95)</f>
        <v>104.64354605343146</v>
      </c>
      <c r="D41" s="6">
        <f>F17+(0.4*95)</f>
        <v>114.14354605343146</v>
      </c>
      <c r="E41" s="6">
        <f>F17+(0.8*95)</f>
        <v>152.14354605343146</v>
      </c>
      <c r="F41" s="87">
        <f>F17+(1*95)</f>
        <v>171.14354605343146</v>
      </c>
      <c r="G41" s="99"/>
      <c r="H41" s="99"/>
    </row>
    <row r="42" spans="1:8" ht="28.5" x14ac:dyDescent="0.45">
      <c r="A42" s="99"/>
      <c r="B42" s="99"/>
      <c r="C42" s="99"/>
      <c r="D42" s="99"/>
      <c r="E42" s="99"/>
      <c r="F42" s="99"/>
      <c r="G42" s="99"/>
      <c r="H42" s="99"/>
    </row>
    <row r="43" spans="1:8" ht="28.5" x14ac:dyDescent="0.45">
      <c r="A43" s="99"/>
      <c r="B43" s="16" t="s">
        <v>44</v>
      </c>
      <c r="C43" s="99"/>
      <c r="D43" s="99"/>
      <c r="E43" s="99"/>
      <c r="F43" s="99"/>
      <c r="G43" s="294" t="s">
        <v>45</v>
      </c>
      <c r="H43" s="99"/>
    </row>
    <row r="44" spans="1:8" ht="28.5" x14ac:dyDescent="0.45">
      <c r="A44" s="99"/>
      <c r="B44" s="17" t="s">
        <v>46</v>
      </c>
      <c r="C44" s="87">
        <f>Planopplysninger!D27+((Planopplysninger!D28/1000)*Planlegging!D2)</f>
        <v>71.2</v>
      </c>
      <c r="D44" s="104" t="s">
        <v>19</v>
      </c>
      <c r="E44" s="105" t="s">
        <v>20</v>
      </c>
      <c r="F44" s="106" t="s">
        <v>21</v>
      </c>
      <c r="G44" s="295" t="s">
        <v>47</v>
      </c>
      <c r="H44" s="99"/>
    </row>
    <row r="45" spans="1:8" ht="28.5" x14ac:dyDescent="0.45">
      <c r="A45" s="99"/>
      <c r="B45" s="17" t="s">
        <v>34</v>
      </c>
      <c r="C45" s="5">
        <v>0</v>
      </c>
      <c r="D45" s="410">
        <f>((0.034*Planopplysninger!$C$44^0.75))</f>
        <v>0.83337201443223086</v>
      </c>
      <c r="E45" s="411">
        <f>Planopplysninger!D45*90</f>
        <v>75.00348129890078</v>
      </c>
      <c r="F45" s="408">
        <f>G17</f>
        <v>-20</v>
      </c>
      <c r="G45" s="415">
        <v>5</v>
      </c>
      <c r="H45" s="99"/>
    </row>
    <row r="46" spans="1:8" ht="28.5" x14ac:dyDescent="0.45">
      <c r="A46" s="99"/>
      <c r="B46" s="99"/>
      <c r="C46" s="409">
        <v>1</v>
      </c>
      <c r="D46" s="410">
        <f>((0.034*Planopplysninger!$C$44^0.75)+0.4)</f>
        <v>1.2333720144322309</v>
      </c>
      <c r="E46" s="411">
        <f>Planopplysninger!D46*90</f>
        <v>111.00348129890078</v>
      </c>
      <c r="F46" s="412">
        <f>G17</f>
        <v>-20</v>
      </c>
      <c r="G46" s="415">
        <v>30</v>
      </c>
      <c r="H46" s="99"/>
    </row>
    <row r="47" spans="1:8" ht="28.5" x14ac:dyDescent="0.45">
      <c r="A47" s="99"/>
      <c r="B47" s="99"/>
      <c r="C47" s="25">
        <v>2</v>
      </c>
      <c r="D47" s="141">
        <f>((0.034*Planopplysninger!$C$44^0.75))+0.8</f>
        <v>1.633372014432231</v>
      </c>
      <c r="E47" s="142">
        <f>Planopplysninger!D47*90</f>
        <v>147.00348129890079</v>
      </c>
      <c r="F47" s="143">
        <f>G17</f>
        <v>-20</v>
      </c>
      <c r="G47" s="18">
        <f>C7-G45-G46</f>
        <v>24</v>
      </c>
      <c r="H47" s="99"/>
    </row>
    <row r="48" spans="1:8" ht="28.5" x14ac:dyDescent="0.45">
      <c r="A48" s="99"/>
      <c r="B48" s="99"/>
      <c r="C48" s="99"/>
      <c r="D48" s="99"/>
      <c r="E48" s="99"/>
      <c r="F48" s="99"/>
      <c r="G48" s="99"/>
      <c r="H48" s="99"/>
    </row>
    <row r="49" spans="1:8" ht="28.5" x14ac:dyDescent="0.45">
      <c r="A49" s="99"/>
      <c r="B49" s="16" t="s">
        <v>48</v>
      </c>
      <c r="C49" s="274" t="s">
        <v>49</v>
      </c>
      <c r="D49" s="303">
        <v>0.4</v>
      </c>
      <c r="E49" s="99"/>
      <c r="F49" s="99"/>
      <c r="G49" s="296" t="s">
        <v>33</v>
      </c>
      <c r="H49" s="294" t="s">
        <v>50</v>
      </c>
    </row>
    <row r="50" spans="1:8" ht="28.5" x14ac:dyDescent="0.45">
      <c r="A50" s="99"/>
      <c r="B50" s="17" t="s">
        <v>27</v>
      </c>
      <c r="C50" s="273" t="s">
        <v>51</v>
      </c>
      <c r="D50" s="18" t="s">
        <v>52</v>
      </c>
      <c r="E50" s="21" t="s">
        <v>53</v>
      </c>
      <c r="F50" s="19" t="s">
        <v>21</v>
      </c>
      <c r="G50" s="295" t="s">
        <v>54</v>
      </c>
      <c r="H50" s="336" t="s">
        <v>47</v>
      </c>
    </row>
    <row r="51" spans="1:8" ht="28.5" x14ac:dyDescent="0.45">
      <c r="A51" s="99"/>
      <c r="B51" s="16">
        <v>0</v>
      </c>
      <c r="C51" s="273"/>
      <c r="D51" s="110">
        <f>0.034*C44^0.75+(D28/1000)*3</f>
        <v>1.4333720144322308</v>
      </c>
      <c r="E51" s="5">
        <f>D51*80</f>
        <v>114.66976115457847</v>
      </c>
      <c r="F51" s="20">
        <f>G17</f>
        <v>-20</v>
      </c>
      <c r="G51" s="335">
        <v>5</v>
      </c>
      <c r="H51" s="101">
        <f>G51*B51</f>
        <v>0</v>
      </c>
    </row>
    <row r="52" spans="1:8" ht="28.5" x14ac:dyDescent="0.45">
      <c r="A52" s="99"/>
      <c r="B52" s="1">
        <v>1</v>
      </c>
      <c r="C52" s="303">
        <v>400</v>
      </c>
      <c r="D52" s="22">
        <f>(((B52*C52)/100)*0.316)+E17-D49</f>
        <v>1.8157943256678934</v>
      </c>
      <c r="E52" s="24">
        <f>(((B52*C52)/100)*0.316)*100+$F$17-($D$49*36)</f>
        <v>188.14354605343146</v>
      </c>
      <c r="F52" s="1">
        <f>G17</f>
        <v>-20</v>
      </c>
      <c r="G52" s="335">
        <v>35</v>
      </c>
      <c r="H52" s="101">
        <f>G52*B52</f>
        <v>35</v>
      </c>
    </row>
    <row r="53" spans="1:8" ht="28.5" x14ac:dyDescent="0.45">
      <c r="A53" s="99"/>
      <c r="B53" s="1">
        <v>2</v>
      </c>
      <c r="C53" s="303">
        <v>350</v>
      </c>
      <c r="D53" s="22">
        <f>(((B53*C53)/100*0.316)+$E$17-$D$49)</f>
        <v>2.7637943256678934</v>
      </c>
      <c r="E53" s="24">
        <f>(((B53*C53)/100)*0.316)*100+$F$17-($D$49*36)</f>
        <v>282.94354605343153</v>
      </c>
      <c r="F53" s="1">
        <f>G17</f>
        <v>-20</v>
      </c>
      <c r="G53" s="335">
        <v>94</v>
      </c>
      <c r="H53" s="101">
        <f>G53*B53</f>
        <v>188</v>
      </c>
    </row>
    <row r="54" spans="1:8" ht="28.5" x14ac:dyDescent="0.45">
      <c r="A54" s="99"/>
      <c r="B54" s="2">
        <v>3</v>
      </c>
      <c r="C54" s="303">
        <v>300</v>
      </c>
      <c r="D54" s="23">
        <f>(((B54*C54)/100*0.316)+$E$17-$D$49)</f>
        <v>3.3957943256678931</v>
      </c>
      <c r="E54" s="25">
        <f>(((B54*C54)/100)*0.316)*100+$F$17-($D$49*36)</f>
        <v>346.14354605343146</v>
      </c>
      <c r="F54" s="2">
        <f>G17</f>
        <v>-20</v>
      </c>
      <c r="G54" s="139">
        <f>C6+C7-G51-G52-G53</f>
        <v>70</v>
      </c>
      <c r="H54" s="101">
        <f>G54*B54</f>
        <v>210</v>
      </c>
    </row>
    <row r="55" spans="1:8" ht="28.5" x14ac:dyDescent="0.45">
      <c r="A55" s="99"/>
      <c r="B55" s="99"/>
      <c r="C55" s="99"/>
      <c r="D55" s="99"/>
      <c r="E55" s="99"/>
      <c r="F55" s="104" t="s">
        <v>55</v>
      </c>
      <c r="G55" s="106"/>
      <c r="H55" s="101">
        <f>(H51+H52+H53+H54)/(C6+C7)</f>
        <v>2.1225490196078431</v>
      </c>
    </row>
    <row r="56" spans="1:8" ht="28.5" x14ac:dyDescent="0.45">
      <c r="A56" s="99"/>
      <c r="B56" s="17" t="s">
        <v>56</v>
      </c>
      <c r="C56" s="17"/>
      <c r="D56" s="17" t="s">
        <v>27</v>
      </c>
      <c r="E56" s="17" t="s">
        <v>57</v>
      </c>
      <c r="F56" s="99"/>
      <c r="G56" s="99"/>
      <c r="H56" s="99"/>
    </row>
    <row r="57" spans="1:8" ht="28.5" x14ac:dyDescent="0.45">
      <c r="A57" s="99"/>
      <c r="B57" s="114" t="s">
        <v>58</v>
      </c>
      <c r="C57" s="20" t="s">
        <v>59</v>
      </c>
      <c r="D57" s="308">
        <v>0</v>
      </c>
      <c r="E57" s="309">
        <v>0.4</v>
      </c>
      <c r="F57" s="99"/>
      <c r="G57" s="99"/>
      <c r="H57" s="99"/>
    </row>
    <row r="58" spans="1:8" ht="28.5" x14ac:dyDescent="0.45">
      <c r="A58" s="99"/>
      <c r="B58" s="310">
        <v>45180</v>
      </c>
      <c r="C58" s="310">
        <v>45204</v>
      </c>
      <c r="D58" s="99"/>
      <c r="E58" s="99"/>
      <c r="F58" s="99"/>
      <c r="G58" s="99"/>
      <c r="H58" s="99"/>
    </row>
    <row r="59" spans="1:8" ht="28.5" x14ac:dyDescent="0.45">
      <c r="A59" s="99"/>
      <c r="B59" s="17" t="s">
        <v>60</v>
      </c>
      <c r="C59" s="17" t="s">
        <v>61</v>
      </c>
      <c r="D59" s="17" t="s">
        <v>52</v>
      </c>
      <c r="E59" s="17" t="s">
        <v>20</v>
      </c>
      <c r="F59" s="17" t="s">
        <v>21</v>
      </c>
      <c r="G59" s="99"/>
      <c r="H59" s="99"/>
    </row>
    <row r="60" spans="1:8" ht="28.5" x14ac:dyDescent="0.45">
      <c r="A60" s="99"/>
      <c r="B60" s="308">
        <v>39.5</v>
      </c>
      <c r="C60" s="308">
        <v>48</v>
      </c>
      <c r="D60" s="115">
        <f>0.034*((B60+C60)/2)^0.75+(C61/1000)*2.5</f>
        <v>1.4637955921063208</v>
      </c>
      <c r="E60" s="87">
        <f>D60*80</f>
        <v>117.10364736850566</v>
      </c>
      <c r="F60" s="17">
        <f>G23</f>
        <v>-20</v>
      </c>
      <c r="G60" s="99"/>
      <c r="H60" s="99"/>
    </row>
    <row r="61" spans="1:8" ht="28.5" x14ac:dyDescent="0.45">
      <c r="A61" s="99"/>
      <c r="B61" s="114" t="s">
        <v>29</v>
      </c>
      <c r="C61" s="116">
        <f>(C60-B60)/(C58-B58)*1000</f>
        <v>354.16666666666669</v>
      </c>
      <c r="D61" s="99"/>
      <c r="E61" s="99"/>
      <c r="F61" s="99"/>
      <c r="G61" s="99"/>
      <c r="H61" s="99"/>
    </row>
    <row r="62" spans="1:8" ht="28.5" x14ac:dyDescent="0.45">
      <c r="A62" s="99"/>
      <c r="B62" s="18" t="s">
        <v>62</v>
      </c>
      <c r="C62" s="21">
        <f>C60*E57</f>
        <v>19.200000000000003</v>
      </c>
      <c r="D62" s="19" t="s">
        <v>63</v>
      </c>
      <c r="E62" s="99"/>
      <c r="F62" s="99"/>
      <c r="G62" s="99"/>
      <c r="H62" s="99"/>
    </row>
    <row r="63" spans="1:8" ht="28.5" x14ac:dyDescent="0.45">
      <c r="A63" s="99"/>
      <c r="B63" s="99"/>
      <c r="C63" s="99"/>
      <c r="D63" s="99"/>
      <c r="E63" s="99"/>
      <c r="F63" s="99"/>
      <c r="G63" s="99"/>
      <c r="H63" s="99"/>
    </row>
  </sheetData>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71717-1F61-461C-9998-24792AA0C955}">
  <dimension ref="A1:Y45"/>
  <sheetViews>
    <sheetView workbookViewId="0">
      <selection activeCell="R27" sqref="R27"/>
    </sheetView>
  </sheetViews>
  <sheetFormatPr baseColWidth="10" defaultRowHeight="15" x14ac:dyDescent="0.25"/>
  <cols>
    <col min="2" max="2" width="19.28515625" customWidth="1"/>
    <col min="3" max="3" width="9.42578125" customWidth="1"/>
  </cols>
  <sheetData>
    <row r="1" spans="1:25" x14ac:dyDescent="0.25">
      <c r="B1" t="s">
        <v>389</v>
      </c>
    </row>
    <row r="2" spans="1:25" ht="45" x14ac:dyDescent="0.25">
      <c r="B2" t="s">
        <v>326</v>
      </c>
      <c r="C2" s="494" t="s">
        <v>68</v>
      </c>
      <c r="D2" s="491" t="s">
        <v>327</v>
      </c>
      <c r="E2" s="491" t="s">
        <v>328</v>
      </c>
      <c r="F2" s="491" t="s">
        <v>329</v>
      </c>
      <c r="G2" s="491" t="s">
        <v>330</v>
      </c>
      <c r="H2" s="491" t="s">
        <v>331</v>
      </c>
      <c r="I2" s="491" t="s">
        <v>332</v>
      </c>
      <c r="J2" s="491" t="s">
        <v>333</v>
      </c>
      <c r="K2" s="491" t="s">
        <v>334</v>
      </c>
      <c r="L2" s="491" t="s">
        <v>335</v>
      </c>
      <c r="M2" s="491" t="s">
        <v>336</v>
      </c>
      <c r="N2" s="491" t="s">
        <v>337</v>
      </c>
      <c r="O2" s="491" t="s">
        <v>338</v>
      </c>
      <c r="P2" s="491" t="s">
        <v>339</v>
      </c>
      <c r="Q2" s="491" t="s">
        <v>340</v>
      </c>
      <c r="R2" s="491" t="s">
        <v>341</v>
      </c>
      <c r="S2" s="491" t="s">
        <v>342</v>
      </c>
      <c r="T2" s="491" t="s">
        <v>343</v>
      </c>
      <c r="U2" s="491" t="s">
        <v>344</v>
      </c>
      <c r="V2" s="491" t="s">
        <v>345</v>
      </c>
      <c r="W2" s="491" t="s">
        <v>346</v>
      </c>
      <c r="X2" s="491" t="s">
        <v>347</v>
      </c>
      <c r="Y2" s="491" t="s">
        <v>348</v>
      </c>
    </row>
    <row r="3" spans="1:25" x14ac:dyDescent="0.25">
      <c r="A3">
        <f>'Aktuelle fôrslag'!I3</f>
        <v>1</v>
      </c>
      <c r="B3" s="500"/>
      <c r="C3" s="501"/>
      <c r="D3" s="502"/>
      <c r="E3" s="53">
        <f>1000-D3</f>
        <v>1000</v>
      </c>
      <c r="F3" s="502"/>
      <c r="G3" s="502"/>
      <c r="H3" s="158">
        <f>(1-(G3/1000))*F3</f>
        <v>0</v>
      </c>
      <c r="I3" s="502"/>
      <c r="J3" s="502"/>
      <c r="K3" s="502"/>
      <c r="L3" s="158">
        <f>(1000-D3)*K3*0.01</f>
        <v>0</v>
      </c>
      <c r="M3" s="156">
        <f>(24.1*H3+36.6*I3+18.5*(E3-H3-I3-(F3/6.25)*(G3/1000)))/1000</f>
        <v>18.5</v>
      </c>
      <c r="N3" s="157">
        <f>L3*15*0.001</f>
        <v>0</v>
      </c>
      <c r="O3" s="156">
        <f>(0.6*(1+0.004*((100*N3/M3)-57))*0.9752*N3)/6.9</f>
        <v>0</v>
      </c>
      <c r="P3" s="53">
        <f>1000-D3-F3-I3-J3</f>
        <v>1000</v>
      </c>
      <c r="Q3" s="158">
        <f>P3*0.776</f>
        <v>776</v>
      </c>
      <c r="R3" s="158">
        <f>-557+0.8156*J3+7*K3</f>
        <v>-557</v>
      </c>
      <c r="S3" s="158">
        <f>Q3+R3</f>
        <v>219</v>
      </c>
      <c r="T3" s="157">
        <f>S3*0.1065</f>
        <v>23.323499999999999</v>
      </c>
      <c r="U3" s="157">
        <f>56.8+1.43*F3*0.1</f>
        <v>56.8</v>
      </c>
      <c r="V3" s="157">
        <f>(168-1.62*F3+0.0043*F3^2+0.038*J3)*0.1</f>
        <v>16.8</v>
      </c>
      <c r="W3" s="157">
        <f>F3*((100-U3)*0.01*0.65*((100-U3)-V3)/(100-U3))</f>
        <v>0</v>
      </c>
      <c r="X3" s="157">
        <f>T3+W3</f>
        <v>23.323499999999999</v>
      </c>
      <c r="Y3" s="157">
        <f>-144.6+1.13*F3</f>
        <v>-144.6</v>
      </c>
    </row>
    <row r="4" spans="1:25" x14ac:dyDescent="0.25">
      <c r="A4">
        <f>'Aktuelle fôrslag'!I4</f>
        <v>2</v>
      </c>
      <c r="B4" s="500"/>
      <c r="C4" s="501"/>
      <c r="D4" s="502"/>
      <c r="E4" s="53">
        <f>1000-D4</f>
        <v>1000</v>
      </c>
      <c r="F4" s="502"/>
      <c r="G4" s="502"/>
      <c r="H4" s="158">
        <f>(1-(G4/1000))*F4</f>
        <v>0</v>
      </c>
      <c r="I4" s="502"/>
      <c r="J4" s="502"/>
      <c r="K4" s="502"/>
      <c r="L4" s="158">
        <f t="shared" ref="L4:L5" si="0">(1000-D4)*K4*0.01</f>
        <v>0</v>
      </c>
      <c r="M4" s="156">
        <f>(24.1*H4+36.6*I4+18.5*(E4-H4-I4-(F4/6.25)*(G4/1000)))/1000</f>
        <v>18.5</v>
      </c>
      <c r="N4" s="157">
        <f t="shared" ref="N4:N5" si="1">L4*15*0.001</f>
        <v>0</v>
      </c>
      <c r="O4" s="156">
        <f>(0.6*(1+0.004*((100*N4/M4)-57))*0.9752*N4)/6.9</f>
        <v>0</v>
      </c>
      <c r="P4" s="53">
        <f t="shared" ref="P4:P5" si="2">1000-D4-F4-I4-J4</f>
        <v>1000</v>
      </c>
      <c r="Q4" s="158">
        <f t="shared" ref="Q4:Q5" si="3">P4*0.776</f>
        <v>776</v>
      </c>
      <c r="R4" s="158">
        <f t="shared" ref="R4:R5" si="4">-557+0.8156*J4+7*K4</f>
        <v>-557</v>
      </c>
      <c r="S4" s="158">
        <f t="shared" ref="S4:S5" si="5">Q4+R4</f>
        <v>219</v>
      </c>
      <c r="T4" s="157">
        <f t="shared" ref="T4:T5" si="6">S4*0.1065</f>
        <v>23.323499999999999</v>
      </c>
      <c r="U4" s="157">
        <f t="shared" ref="U4:U5" si="7">56.8+1.43*F4*0.1</f>
        <v>56.8</v>
      </c>
      <c r="V4" s="157">
        <f t="shared" ref="V4:V5" si="8">(168-1.62*F4+0.0043*F4^2+0.038*J4)*0.1</f>
        <v>16.8</v>
      </c>
      <c r="W4" s="157">
        <f t="shared" ref="W4:W5" si="9">F4*((100-U4)*0.01*0.65*((100-U4)-V4)/(100-U4))</f>
        <v>0</v>
      </c>
      <c r="X4" s="157">
        <f t="shared" ref="X4:X5" si="10">T4+W4</f>
        <v>23.323499999999999</v>
      </c>
      <c r="Y4" s="157">
        <f t="shared" ref="Y4:Y5" si="11">-144.6+1.13*F4</f>
        <v>-144.6</v>
      </c>
    </row>
    <row r="5" spans="1:25" x14ac:dyDescent="0.25">
      <c r="A5">
        <f>'Aktuelle fôrslag'!I5</f>
        <v>3</v>
      </c>
      <c r="B5" s="500"/>
      <c r="C5" s="501"/>
      <c r="D5" s="502"/>
      <c r="E5" s="53">
        <f>1000-D5</f>
        <v>1000</v>
      </c>
      <c r="F5" s="502"/>
      <c r="G5" s="502"/>
      <c r="H5" s="158">
        <f>(1-(G5/1000))*F5</f>
        <v>0</v>
      </c>
      <c r="I5" s="502"/>
      <c r="J5" s="502"/>
      <c r="K5" s="502"/>
      <c r="L5" s="158">
        <f t="shared" si="0"/>
        <v>0</v>
      </c>
      <c r="M5" s="156">
        <f>(24.1*H5+36.6*I5+18.5*(E5-H5-I5-(F5/6.25)*(G5/1000)))/1000</f>
        <v>18.5</v>
      </c>
      <c r="N5" s="157">
        <f t="shared" si="1"/>
        <v>0</v>
      </c>
      <c r="O5" s="156">
        <f>(0.6*(1+0.004*((100*N5/M5)-57))*0.9752*N5)/6.9</f>
        <v>0</v>
      </c>
      <c r="P5" s="53">
        <f t="shared" si="2"/>
        <v>1000</v>
      </c>
      <c r="Q5" s="158">
        <f t="shared" si="3"/>
        <v>776</v>
      </c>
      <c r="R5" s="158">
        <f t="shared" si="4"/>
        <v>-557</v>
      </c>
      <c r="S5" s="158">
        <f t="shared" si="5"/>
        <v>219</v>
      </c>
      <c r="T5" s="157">
        <f t="shared" si="6"/>
        <v>23.323499999999999</v>
      </c>
      <c r="U5" s="157">
        <f t="shared" si="7"/>
        <v>56.8</v>
      </c>
      <c r="V5" s="157">
        <f t="shared" si="8"/>
        <v>16.8</v>
      </c>
      <c r="W5" s="157">
        <f t="shared" si="9"/>
        <v>0</v>
      </c>
      <c r="X5" s="157">
        <f t="shared" si="10"/>
        <v>23.323499999999999</v>
      </c>
      <c r="Y5" s="157">
        <f t="shared" si="11"/>
        <v>-144.6</v>
      </c>
    </row>
    <row r="6" spans="1:25" x14ac:dyDescent="0.25">
      <c r="A6">
        <f>'Aktuelle fôrslag'!I6</f>
        <v>4</v>
      </c>
      <c r="B6" s="502"/>
      <c r="C6" s="501"/>
      <c r="D6" s="502"/>
      <c r="E6" s="53">
        <f t="shared" ref="E6:E7" si="12">1000-D6</f>
        <v>1000</v>
      </c>
      <c r="F6" s="502"/>
      <c r="G6" s="502"/>
      <c r="H6" s="158">
        <f t="shared" ref="H6:H7" si="13">(1-(G6/1000))*F6</f>
        <v>0</v>
      </c>
      <c r="I6" s="502"/>
      <c r="J6" s="502"/>
      <c r="K6" s="502"/>
      <c r="L6" s="158">
        <f t="shared" ref="L6:L7" si="14">(1000-D6)*K6*0.01</f>
        <v>0</v>
      </c>
      <c r="M6" s="156">
        <f>(24.1*H6+36.6*I6+18.5*(E6-H6-I6-(F6/6.25)*(G6/1000)))/1000</f>
        <v>18.5</v>
      </c>
      <c r="N6" s="157">
        <f t="shared" ref="N6:N7" si="15">L6*15*0.001</f>
        <v>0</v>
      </c>
      <c r="O6" s="156">
        <f>(0.6*(1+0.004*((100*N6/M6)-57))*0.9752*N6)/6.9</f>
        <v>0</v>
      </c>
      <c r="P6" s="53">
        <f t="shared" ref="P6:P7" si="16">1000-D6-F6-I6-J6</f>
        <v>1000</v>
      </c>
      <c r="Q6" s="158">
        <f t="shared" ref="Q6:Q7" si="17">P6*0.776</f>
        <v>776</v>
      </c>
      <c r="R6" s="158">
        <f t="shared" ref="R6:R7" si="18">-557+0.8156*J6+7*K6</f>
        <v>-557</v>
      </c>
      <c r="S6" s="158">
        <f t="shared" ref="S6:S7" si="19">Q6+R6</f>
        <v>219</v>
      </c>
      <c r="T6" s="157">
        <f t="shared" ref="T6:T7" si="20">S6*0.1065</f>
        <v>23.323499999999999</v>
      </c>
      <c r="U6" s="157">
        <f t="shared" ref="U6:U7" si="21">56.8+1.43*F6*0.1</f>
        <v>56.8</v>
      </c>
      <c r="V6" s="157">
        <f t="shared" ref="V6:V7" si="22">(168-1.62*F6+0.0043*F6^2+0.038*J6)*0.1</f>
        <v>16.8</v>
      </c>
      <c r="W6" s="157">
        <f t="shared" ref="W6:W7" si="23">F6*((100-U6)*0.01*0.65*((100-U6)-V6)/(100-U6))</f>
        <v>0</v>
      </c>
      <c r="X6" s="157">
        <f t="shared" ref="X6:X7" si="24">T6+W6</f>
        <v>23.323499999999999</v>
      </c>
      <c r="Y6" s="157">
        <f t="shared" ref="Y6:Y7" si="25">-144.6+1.13*F6</f>
        <v>-144.6</v>
      </c>
    </row>
    <row r="7" spans="1:25" x14ac:dyDescent="0.25">
      <c r="A7">
        <f>'Aktuelle fôrslag'!I7</f>
        <v>5</v>
      </c>
      <c r="B7" s="502"/>
      <c r="C7" s="501"/>
      <c r="D7" s="502"/>
      <c r="E7" s="53">
        <f t="shared" si="12"/>
        <v>1000</v>
      </c>
      <c r="F7" s="502"/>
      <c r="G7" s="502"/>
      <c r="H7" s="158">
        <f t="shared" si="13"/>
        <v>0</v>
      </c>
      <c r="I7" s="502"/>
      <c r="J7" s="502"/>
      <c r="K7" s="502"/>
      <c r="L7" s="158">
        <f t="shared" si="14"/>
        <v>0</v>
      </c>
      <c r="M7" s="156">
        <f>(24.1*H7+36.6*I7+18.5*(E7-H7-I7-(F7/6.25)*(G7/1000)))/1000</f>
        <v>18.5</v>
      </c>
      <c r="N7" s="157">
        <f t="shared" si="15"/>
        <v>0</v>
      </c>
      <c r="O7" s="156">
        <f>(0.6*(1+0.004*((100*N7/M7)-57))*0.9752*N7)/6.9</f>
        <v>0</v>
      </c>
      <c r="P7" s="53">
        <f t="shared" si="16"/>
        <v>1000</v>
      </c>
      <c r="Q7" s="158">
        <f t="shared" si="17"/>
        <v>776</v>
      </c>
      <c r="R7" s="158">
        <f t="shared" si="18"/>
        <v>-557</v>
      </c>
      <c r="S7" s="158">
        <f t="shared" si="19"/>
        <v>219</v>
      </c>
      <c r="T7" s="157">
        <f t="shared" si="20"/>
        <v>23.323499999999999</v>
      </c>
      <c r="U7" s="157">
        <f t="shared" si="21"/>
        <v>56.8</v>
      </c>
      <c r="V7" s="157">
        <f t="shared" si="22"/>
        <v>16.8</v>
      </c>
      <c r="W7" s="157">
        <f t="shared" si="23"/>
        <v>0</v>
      </c>
      <c r="X7" s="157">
        <f t="shared" si="24"/>
        <v>23.323499999999999</v>
      </c>
      <c r="Y7" s="157">
        <f t="shared" si="25"/>
        <v>-144.6</v>
      </c>
    </row>
    <row r="10" spans="1:25" x14ac:dyDescent="0.25">
      <c r="B10" s="57" t="s">
        <v>387</v>
      </c>
      <c r="C10" s="57"/>
      <c r="J10" s="57" t="s">
        <v>379</v>
      </c>
      <c r="K10" s="57"/>
      <c r="L10" s="57"/>
      <c r="M10" s="57"/>
      <c r="N10" s="57"/>
      <c r="O10" s="57"/>
      <c r="P10" s="57"/>
      <c r="Q10" s="57"/>
      <c r="R10" s="57"/>
      <c r="S10" s="57"/>
      <c r="T10" s="57"/>
      <c r="U10" s="57"/>
      <c r="V10" s="57"/>
      <c r="W10" s="57"/>
      <c r="X10" s="57"/>
    </row>
    <row r="11" spans="1:25" x14ac:dyDescent="0.25">
      <c r="J11" s="57"/>
      <c r="K11" s="57"/>
      <c r="L11" s="57"/>
      <c r="M11" s="57"/>
      <c r="N11" s="57"/>
      <c r="O11" s="57"/>
      <c r="P11" s="57"/>
      <c r="Q11" s="57"/>
      <c r="R11" s="57"/>
      <c r="S11" s="57"/>
      <c r="T11" s="57"/>
      <c r="U11" s="57"/>
      <c r="V11" s="57"/>
      <c r="W11" s="57"/>
      <c r="X11" s="57"/>
    </row>
    <row r="12" spans="1:25" x14ac:dyDescent="0.25">
      <c r="B12" t="s">
        <v>349</v>
      </c>
      <c r="J12" s="57" t="s">
        <v>380</v>
      </c>
      <c r="K12" s="57"/>
      <c r="L12" s="57"/>
      <c r="M12" s="57"/>
      <c r="N12" s="57"/>
      <c r="O12" s="57"/>
      <c r="P12" s="57"/>
      <c r="Q12" s="57"/>
      <c r="R12" s="57"/>
      <c r="S12" s="57"/>
      <c r="T12" s="57"/>
      <c r="U12" s="57"/>
      <c r="V12" s="57"/>
      <c r="W12" s="57"/>
      <c r="X12" s="57"/>
    </row>
    <row r="13" spans="1:25" x14ac:dyDescent="0.25">
      <c r="J13" s="57" t="s">
        <v>381</v>
      </c>
      <c r="K13" s="57"/>
      <c r="L13" s="57"/>
      <c r="M13" s="57"/>
      <c r="N13" s="57"/>
      <c r="O13" s="57"/>
      <c r="P13" s="57"/>
      <c r="Q13" s="57"/>
      <c r="R13" s="57"/>
      <c r="S13" s="57"/>
      <c r="T13" s="57"/>
      <c r="U13" s="57"/>
      <c r="V13" s="57"/>
      <c r="W13" s="57"/>
      <c r="X13" s="57"/>
    </row>
    <row r="14" spans="1:25" x14ac:dyDescent="0.25">
      <c r="B14" t="s">
        <v>350</v>
      </c>
      <c r="J14" t="s">
        <v>359</v>
      </c>
    </row>
    <row r="15" spans="1:25" x14ac:dyDescent="0.25">
      <c r="B15" t="s">
        <v>351</v>
      </c>
    </row>
    <row r="16" spans="1:25" x14ac:dyDescent="0.25">
      <c r="J16" t="s">
        <v>360</v>
      </c>
    </row>
    <row r="17" spans="2:10" x14ac:dyDescent="0.25">
      <c r="B17" t="s">
        <v>352</v>
      </c>
      <c r="J17" t="s">
        <v>361</v>
      </c>
    </row>
    <row r="19" spans="2:10" x14ac:dyDescent="0.25">
      <c r="B19" t="s">
        <v>353</v>
      </c>
      <c r="J19" t="s">
        <v>362</v>
      </c>
    </row>
    <row r="20" spans="2:10" x14ac:dyDescent="0.25">
      <c r="J20" t="s">
        <v>363</v>
      </c>
    </row>
    <row r="21" spans="2:10" x14ac:dyDescent="0.25">
      <c r="B21" t="s">
        <v>354</v>
      </c>
    </row>
    <row r="22" spans="2:10" x14ac:dyDescent="0.25">
      <c r="J22" t="s">
        <v>364</v>
      </c>
    </row>
    <row r="23" spans="2:10" x14ac:dyDescent="0.25">
      <c r="B23" t="s">
        <v>355</v>
      </c>
      <c r="J23" t="s">
        <v>365</v>
      </c>
    </row>
    <row r="24" spans="2:10" x14ac:dyDescent="0.25">
      <c r="J24" t="s">
        <v>366</v>
      </c>
    </row>
    <row r="25" spans="2:10" x14ac:dyDescent="0.25">
      <c r="B25" t="s">
        <v>356</v>
      </c>
      <c r="J25" t="s">
        <v>367</v>
      </c>
    </row>
    <row r="27" spans="2:10" x14ac:dyDescent="0.25">
      <c r="B27" t="s">
        <v>357</v>
      </c>
      <c r="J27" t="s">
        <v>368</v>
      </c>
    </row>
    <row r="28" spans="2:10" x14ac:dyDescent="0.25">
      <c r="J28" t="s">
        <v>369</v>
      </c>
    </row>
    <row r="29" spans="2:10" x14ac:dyDescent="0.25">
      <c r="B29" t="s">
        <v>358</v>
      </c>
    </row>
    <row r="30" spans="2:10" x14ac:dyDescent="0.25">
      <c r="J30" t="s">
        <v>370</v>
      </c>
    </row>
    <row r="31" spans="2:10" x14ac:dyDescent="0.25">
      <c r="B31" s="57" t="s">
        <v>385</v>
      </c>
      <c r="C31" s="57"/>
      <c r="D31" s="57"/>
      <c r="E31" s="57"/>
      <c r="F31" s="57"/>
      <c r="J31" t="s">
        <v>371</v>
      </c>
    </row>
    <row r="32" spans="2:10" x14ac:dyDescent="0.25">
      <c r="B32" s="57" t="s">
        <v>386</v>
      </c>
      <c r="C32" s="57"/>
      <c r="D32" s="57"/>
      <c r="E32" s="57"/>
      <c r="F32" s="57"/>
    </row>
    <row r="33" spans="2:10" x14ac:dyDescent="0.25">
      <c r="B33" t="s">
        <v>382</v>
      </c>
      <c r="J33" t="s">
        <v>372</v>
      </c>
    </row>
    <row r="34" spans="2:10" x14ac:dyDescent="0.25">
      <c r="J34" t="s">
        <v>373</v>
      </c>
    </row>
    <row r="35" spans="2:10" x14ac:dyDescent="0.25">
      <c r="B35" t="s">
        <v>383</v>
      </c>
    </row>
    <row r="36" spans="2:10" x14ac:dyDescent="0.25">
      <c r="J36" t="s">
        <v>388</v>
      </c>
    </row>
    <row r="37" spans="2:10" x14ac:dyDescent="0.25">
      <c r="B37" t="s">
        <v>384</v>
      </c>
      <c r="J37" t="s">
        <v>374</v>
      </c>
    </row>
    <row r="40" spans="2:10" x14ac:dyDescent="0.25">
      <c r="J40" t="s">
        <v>375</v>
      </c>
    </row>
    <row r="41" spans="2:10" x14ac:dyDescent="0.25">
      <c r="J41" t="s">
        <v>376</v>
      </c>
    </row>
    <row r="43" spans="2:10" x14ac:dyDescent="0.25">
      <c r="J43" t="s">
        <v>377</v>
      </c>
    </row>
    <row r="45" spans="2:10" x14ac:dyDescent="0.25">
      <c r="J45" t="s">
        <v>378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65"/>
  <sheetViews>
    <sheetView zoomScaleNormal="100" workbookViewId="0">
      <selection activeCell="J7" sqref="J7:O7"/>
    </sheetView>
  </sheetViews>
  <sheetFormatPr baseColWidth="10" defaultColWidth="11.42578125" defaultRowHeight="15" x14ac:dyDescent="0.25"/>
  <cols>
    <col min="1" max="1" width="8.42578125" customWidth="1"/>
    <col min="2" max="2" width="40.42578125" customWidth="1"/>
    <col min="3" max="3" width="15.28515625" customWidth="1"/>
    <col min="4" max="7" width="11.42578125" customWidth="1"/>
    <col min="8" max="8" width="6.5703125" customWidth="1"/>
    <col min="9" max="9" width="9.28515625" customWidth="1"/>
    <col min="10" max="10" width="42.140625" customWidth="1"/>
    <col min="11" max="11" width="13.28515625" customWidth="1"/>
    <col min="12" max="13" width="12.28515625" customWidth="1"/>
    <col min="16" max="16" width="12" customWidth="1"/>
    <col min="17" max="17" width="13.28515625" customWidth="1"/>
    <col min="18" max="18" width="8.7109375" customWidth="1"/>
  </cols>
  <sheetData>
    <row r="1" spans="1:29" ht="15.75" x14ac:dyDescent="0.25">
      <c r="A1" s="117"/>
      <c r="B1" s="117"/>
      <c r="C1" s="117"/>
      <c r="D1" s="388" t="s">
        <v>64</v>
      </c>
      <c r="E1" s="117"/>
      <c r="F1" s="117"/>
      <c r="G1" s="117"/>
      <c r="H1" s="117"/>
      <c r="I1" s="117"/>
      <c r="J1" s="117"/>
      <c r="K1" s="117"/>
      <c r="L1" s="388" t="s">
        <v>64</v>
      </c>
      <c r="M1" s="117"/>
      <c r="N1" s="117"/>
      <c r="O1" s="117"/>
      <c r="P1" s="117"/>
      <c r="Q1" s="285" t="s">
        <v>65</v>
      </c>
      <c r="R1" s="285" t="s">
        <v>66</v>
      </c>
      <c r="S1" s="117"/>
      <c r="T1" s="117"/>
      <c r="U1" s="117"/>
      <c r="V1" s="117"/>
      <c r="W1" s="117"/>
      <c r="X1" s="117"/>
      <c r="Y1" s="117"/>
      <c r="Z1" s="117"/>
      <c r="AA1" s="117"/>
      <c r="AB1" s="117"/>
      <c r="AC1" s="117"/>
    </row>
    <row r="2" spans="1:29" ht="15.75" x14ac:dyDescent="0.25">
      <c r="A2" s="117"/>
      <c r="B2" s="388" t="s">
        <v>67</v>
      </c>
      <c r="C2" s="388" t="s">
        <v>68</v>
      </c>
      <c r="D2" s="388" t="s">
        <v>69</v>
      </c>
      <c r="E2" s="388" t="s">
        <v>70</v>
      </c>
      <c r="F2" s="388" t="s">
        <v>71</v>
      </c>
      <c r="G2" s="388" t="s">
        <v>21</v>
      </c>
      <c r="H2" s="117"/>
      <c r="I2" s="117"/>
      <c r="J2" s="388" t="s">
        <v>72</v>
      </c>
      <c r="K2" s="388" t="s">
        <v>68</v>
      </c>
      <c r="L2" s="388" t="s">
        <v>69</v>
      </c>
      <c r="M2" s="388" t="s">
        <v>19</v>
      </c>
      <c r="N2" s="388" t="s">
        <v>71</v>
      </c>
      <c r="O2" s="437" t="s">
        <v>21</v>
      </c>
      <c r="P2" s="437" t="s">
        <v>73</v>
      </c>
      <c r="Q2" s="285" t="s">
        <v>74</v>
      </c>
      <c r="R2" s="285" t="s">
        <v>74</v>
      </c>
      <c r="S2" s="117"/>
      <c r="T2" s="211" t="s">
        <v>75</v>
      </c>
      <c r="U2" s="212" t="s">
        <v>76</v>
      </c>
      <c r="V2" s="212"/>
      <c r="W2" s="212"/>
      <c r="X2" s="212"/>
      <c r="Y2" s="213"/>
      <c r="Z2" s="117"/>
      <c r="AA2" s="117"/>
      <c r="AB2" s="117"/>
      <c r="AC2" s="117"/>
    </row>
    <row r="3" spans="1:29" ht="15.75" x14ac:dyDescent="0.25">
      <c r="A3" s="117"/>
      <c r="B3" s="120" t="s">
        <v>77</v>
      </c>
      <c r="C3" s="438">
        <v>0.3</v>
      </c>
      <c r="D3" s="439">
        <v>431</v>
      </c>
      <c r="E3" s="439">
        <v>1</v>
      </c>
      <c r="F3" s="439">
        <v>74</v>
      </c>
      <c r="G3" s="439">
        <v>63</v>
      </c>
      <c r="H3" s="117"/>
      <c r="I3" s="345">
        <v>1</v>
      </c>
      <c r="J3" s="338">
        <f>'TINE analyse '!B3</f>
        <v>0</v>
      </c>
      <c r="K3" s="339">
        <f>'TINE analyse '!C3</f>
        <v>0</v>
      </c>
      <c r="L3" s="340">
        <f>'TINE analyse '!J3</f>
        <v>0</v>
      </c>
      <c r="M3" s="492">
        <f>'TINE analyse '!O3</f>
        <v>0</v>
      </c>
      <c r="N3" s="493">
        <f>'TINE analyse '!X3</f>
        <v>23.323499999999999</v>
      </c>
      <c r="O3" s="340">
        <f>'TINE analyse '!Y3</f>
        <v>-144.6</v>
      </c>
      <c r="P3" s="341"/>
      <c r="Q3" s="341"/>
      <c r="R3" s="121">
        <f t="shared" ref="R3:R8" si="0">Q3*(K3*M3)</f>
        <v>0</v>
      </c>
      <c r="S3" s="117"/>
      <c r="T3" s="216" t="s">
        <v>79</v>
      </c>
      <c r="U3" s="217" t="s">
        <v>80</v>
      </c>
      <c r="V3" s="217"/>
      <c r="W3" s="217"/>
      <c r="X3" s="217"/>
      <c r="Y3" s="218"/>
      <c r="Z3" s="117"/>
      <c r="AA3" s="117"/>
      <c r="AB3" s="117"/>
      <c r="AC3" s="117"/>
    </row>
    <row r="4" spans="1:29" ht="15.75" x14ac:dyDescent="0.25">
      <c r="A4" s="117"/>
      <c r="B4" s="120" t="s">
        <v>78</v>
      </c>
      <c r="C4" s="438">
        <v>0.3</v>
      </c>
      <c r="D4" s="439">
        <v>501</v>
      </c>
      <c r="E4" s="439">
        <v>0.91</v>
      </c>
      <c r="F4" s="439">
        <v>74</v>
      </c>
      <c r="G4" s="439">
        <v>51</v>
      </c>
      <c r="H4" s="117"/>
      <c r="I4" s="345">
        <v>2</v>
      </c>
      <c r="J4" s="338">
        <f>'TINE analyse '!B4</f>
        <v>0</v>
      </c>
      <c r="K4" s="339">
        <f>'TINE analyse '!C4</f>
        <v>0</v>
      </c>
      <c r="L4" s="340">
        <f>'TINE analyse '!J4</f>
        <v>0</v>
      </c>
      <c r="M4" s="492">
        <f>'TINE analyse '!O4</f>
        <v>0</v>
      </c>
      <c r="N4" s="493">
        <f>'TINE analyse '!X4</f>
        <v>23.323499999999999</v>
      </c>
      <c r="O4" s="340">
        <f>'TINE analyse '!Y4</f>
        <v>-144.6</v>
      </c>
      <c r="P4" s="340"/>
      <c r="Q4" s="340"/>
      <c r="R4" s="122">
        <f t="shared" si="0"/>
        <v>0</v>
      </c>
      <c r="S4" s="117"/>
      <c r="T4" s="117"/>
      <c r="U4" s="117"/>
      <c r="V4" s="117"/>
      <c r="W4" s="117"/>
      <c r="X4" s="117"/>
      <c r="Y4" s="117"/>
      <c r="Z4" s="117"/>
      <c r="AA4" s="117"/>
      <c r="AB4" s="117"/>
      <c r="AC4" s="117"/>
    </row>
    <row r="5" spans="1:29" ht="15.75" x14ac:dyDescent="0.25">
      <c r="A5" s="117"/>
      <c r="B5" s="120" t="s">
        <v>81</v>
      </c>
      <c r="C5" s="438">
        <v>0.3</v>
      </c>
      <c r="D5" s="439">
        <v>560</v>
      </c>
      <c r="E5" s="439">
        <v>0.84</v>
      </c>
      <c r="F5" s="439">
        <v>72</v>
      </c>
      <c r="G5" s="439">
        <v>35</v>
      </c>
      <c r="H5" s="117"/>
      <c r="I5" s="345">
        <v>3</v>
      </c>
      <c r="J5" s="338">
        <f>'TINE analyse '!B5</f>
        <v>0</v>
      </c>
      <c r="K5" s="339">
        <f>'TINE analyse '!C5</f>
        <v>0</v>
      </c>
      <c r="L5" s="340">
        <f>'TINE analyse '!J5</f>
        <v>0</v>
      </c>
      <c r="M5" s="492">
        <f>'TINE analyse '!O5</f>
        <v>0</v>
      </c>
      <c r="N5" s="493">
        <f>'TINE analyse '!X5</f>
        <v>23.323499999999999</v>
      </c>
      <c r="O5" s="340">
        <f>'TINE analyse '!Y5</f>
        <v>-144.6</v>
      </c>
      <c r="P5" s="340"/>
      <c r="Q5" s="340"/>
      <c r="R5" s="122">
        <f t="shared" si="0"/>
        <v>0</v>
      </c>
      <c r="S5" s="117"/>
      <c r="T5" s="211" t="s">
        <v>83</v>
      </c>
      <c r="U5" s="212"/>
      <c r="V5" s="212" t="s">
        <v>84</v>
      </c>
      <c r="W5" s="212"/>
      <c r="X5" s="212" t="s">
        <v>85</v>
      </c>
      <c r="Y5" s="213"/>
      <c r="Z5" s="117"/>
      <c r="AA5" s="117"/>
      <c r="AB5" s="117"/>
      <c r="AC5" s="117"/>
    </row>
    <row r="6" spans="1:29" ht="15.75" x14ac:dyDescent="0.25">
      <c r="A6" s="117"/>
      <c r="B6" s="120" t="s">
        <v>82</v>
      </c>
      <c r="C6" s="438">
        <v>0.3</v>
      </c>
      <c r="D6" s="439">
        <v>597</v>
      </c>
      <c r="E6" s="439">
        <v>0.75</v>
      </c>
      <c r="F6" s="439">
        <v>69</v>
      </c>
      <c r="G6" s="439">
        <v>18</v>
      </c>
      <c r="H6" s="117"/>
      <c r="I6" s="345">
        <v>4</v>
      </c>
      <c r="J6" s="338">
        <f>'TINE analyse '!B6</f>
        <v>0</v>
      </c>
      <c r="K6" s="339">
        <f>'TINE analyse '!C6</f>
        <v>0</v>
      </c>
      <c r="L6" s="340">
        <f>'TINE analyse '!J6</f>
        <v>0</v>
      </c>
      <c r="M6" s="492">
        <f>'TINE analyse '!O6</f>
        <v>0</v>
      </c>
      <c r="N6" s="493">
        <f>'TINE analyse '!X6</f>
        <v>23.323499999999999</v>
      </c>
      <c r="O6" s="340">
        <f>'TINE analyse '!Y6</f>
        <v>-144.6</v>
      </c>
      <c r="P6" s="340"/>
      <c r="Q6" s="340"/>
      <c r="R6" s="122">
        <f t="shared" si="0"/>
        <v>0</v>
      </c>
      <c r="S6" s="117"/>
      <c r="T6" s="214" t="s">
        <v>87</v>
      </c>
      <c r="U6" s="88"/>
      <c r="V6" s="88" t="s">
        <v>88</v>
      </c>
      <c r="W6" s="88"/>
      <c r="X6" s="88" t="s">
        <v>89</v>
      </c>
      <c r="Y6" s="215"/>
      <c r="Z6" s="117"/>
      <c r="AA6" s="117"/>
      <c r="AB6" s="117"/>
      <c r="AC6" s="117"/>
    </row>
    <row r="7" spans="1:29" ht="15.75" x14ac:dyDescent="0.25">
      <c r="A7" s="117"/>
      <c r="B7" s="120" t="s">
        <v>90</v>
      </c>
      <c r="C7" s="438">
        <v>0.3</v>
      </c>
      <c r="D7" s="439">
        <v>626</v>
      </c>
      <c r="E7" s="439">
        <v>0.67</v>
      </c>
      <c r="F7" s="439">
        <v>63</v>
      </c>
      <c r="G7" s="439">
        <v>9</v>
      </c>
      <c r="H7" s="117"/>
      <c r="I7" s="345">
        <v>5</v>
      </c>
      <c r="J7" s="338">
        <f>'TINE analyse '!D7</f>
        <v>0</v>
      </c>
      <c r="K7" s="339">
        <f>'TINE analyse '!C7</f>
        <v>0</v>
      </c>
      <c r="L7" s="340">
        <f>'TINE analyse '!J7</f>
        <v>0</v>
      </c>
      <c r="M7" s="492">
        <f>'TINE analyse '!O7</f>
        <v>0</v>
      </c>
      <c r="N7" s="493">
        <f>'TINE analyse '!X7</f>
        <v>23.323499999999999</v>
      </c>
      <c r="O7" s="340">
        <f>'TINE analyse '!Y7</f>
        <v>-144.6</v>
      </c>
      <c r="P7" s="340"/>
      <c r="Q7" s="340"/>
      <c r="R7" s="122">
        <f t="shared" si="0"/>
        <v>0</v>
      </c>
      <c r="S7" s="117"/>
      <c r="T7" s="214" t="s">
        <v>92</v>
      </c>
      <c r="U7" s="88"/>
      <c r="V7" s="88" t="s">
        <v>93</v>
      </c>
      <c r="W7" s="88"/>
      <c r="X7" s="88" t="s">
        <v>94</v>
      </c>
      <c r="Y7" s="215"/>
      <c r="Z7" s="117"/>
      <c r="AA7" s="117"/>
      <c r="AB7" s="117"/>
      <c r="AC7" s="117"/>
    </row>
    <row r="8" spans="1:29" ht="15.75" x14ac:dyDescent="0.25">
      <c r="A8" s="117"/>
      <c r="B8" s="120" t="s">
        <v>95</v>
      </c>
      <c r="C8" s="438">
        <v>0.25</v>
      </c>
      <c r="D8" s="439">
        <v>455</v>
      </c>
      <c r="E8" s="439">
        <v>0.93</v>
      </c>
      <c r="F8" s="439">
        <v>74</v>
      </c>
      <c r="G8" s="439">
        <v>35</v>
      </c>
      <c r="H8" s="117"/>
      <c r="I8" s="346">
        <v>6</v>
      </c>
      <c r="J8" s="342" t="s">
        <v>96</v>
      </c>
      <c r="K8" s="343"/>
      <c r="L8" s="344"/>
      <c r="M8" s="344"/>
      <c r="N8" s="344"/>
      <c r="O8" s="344"/>
      <c r="P8" s="344">
        <v>1</v>
      </c>
      <c r="Q8" s="344">
        <v>1</v>
      </c>
      <c r="R8" s="124">
        <f t="shared" si="0"/>
        <v>0</v>
      </c>
      <c r="S8" s="117"/>
      <c r="T8" s="214" t="s">
        <v>97</v>
      </c>
      <c r="U8" s="88"/>
      <c r="V8" s="88" t="s">
        <v>98</v>
      </c>
      <c r="W8" s="88"/>
      <c r="X8" s="88" t="s">
        <v>99</v>
      </c>
      <c r="Y8" s="215"/>
      <c r="Z8" s="117"/>
      <c r="AA8" s="117"/>
      <c r="AB8" s="117"/>
      <c r="AC8" s="117"/>
    </row>
    <row r="9" spans="1:29" ht="15.75" x14ac:dyDescent="0.25">
      <c r="A9" s="117"/>
      <c r="B9" s="120" t="s">
        <v>100</v>
      </c>
      <c r="C9" s="438">
        <v>0.25</v>
      </c>
      <c r="D9" s="439">
        <v>530</v>
      </c>
      <c r="E9" s="439">
        <v>0.82</v>
      </c>
      <c r="F9" s="439">
        <v>70</v>
      </c>
      <c r="G9" s="439">
        <v>0</v>
      </c>
      <c r="H9" s="117"/>
      <c r="I9" s="117"/>
      <c r="J9" s="117"/>
      <c r="K9" s="117"/>
      <c r="L9" s="117"/>
      <c r="M9" s="117"/>
      <c r="N9" s="117"/>
      <c r="O9" s="117"/>
      <c r="P9" s="117"/>
      <c r="Q9" s="117"/>
      <c r="R9" s="117"/>
      <c r="S9" s="117"/>
      <c r="T9" s="216" t="s">
        <v>101</v>
      </c>
      <c r="U9" s="217"/>
      <c r="V9" s="217" t="s">
        <v>102</v>
      </c>
      <c r="W9" s="217"/>
      <c r="X9" s="217" t="s">
        <v>88</v>
      </c>
      <c r="Y9" s="218"/>
      <c r="Z9" s="117"/>
      <c r="AA9" s="117"/>
      <c r="AB9" s="117"/>
      <c r="AC9" s="117"/>
    </row>
    <row r="10" spans="1:29" ht="15.75" x14ac:dyDescent="0.25">
      <c r="A10" s="117"/>
      <c r="B10" s="120" t="s">
        <v>103</v>
      </c>
      <c r="C10" s="438">
        <v>0.18</v>
      </c>
      <c r="D10" s="439">
        <v>450</v>
      </c>
      <c r="E10" s="439">
        <v>1.04</v>
      </c>
      <c r="F10" s="439">
        <v>90</v>
      </c>
      <c r="G10" s="439">
        <v>47</v>
      </c>
      <c r="H10" s="117"/>
      <c r="I10" s="117"/>
      <c r="J10" s="117"/>
      <c r="K10" s="117"/>
      <c r="L10" s="388" t="s">
        <v>64</v>
      </c>
      <c r="M10" s="117"/>
      <c r="N10" s="117"/>
      <c r="O10" s="117"/>
      <c r="P10" s="117"/>
      <c r="Q10" s="117"/>
      <c r="R10" s="117"/>
      <c r="S10" s="117"/>
      <c r="T10" s="117"/>
      <c r="U10" s="117"/>
      <c r="V10" s="117"/>
      <c r="W10" s="117"/>
      <c r="X10" s="117"/>
      <c r="Y10" s="117"/>
      <c r="Z10" s="117"/>
      <c r="AA10" s="117"/>
      <c r="AB10" s="117"/>
      <c r="AC10" s="117"/>
    </row>
    <row r="11" spans="1:29" ht="15.75" x14ac:dyDescent="0.25">
      <c r="A11" s="117"/>
      <c r="B11" s="120" t="s">
        <v>104</v>
      </c>
      <c r="C11" s="438">
        <v>0.18</v>
      </c>
      <c r="D11" s="439">
        <v>505</v>
      </c>
      <c r="E11" s="439">
        <v>0.92</v>
      </c>
      <c r="F11" s="439">
        <v>90</v>
      </c>
      <c r="G11" s="439">
        <v>12.1</v>
      </c>
      <c r="H11" s="117"/>
      <c r="I11" s="117"/>
      <c r="J11" s="388" t="s">
        <v>105</v>
      </c>
      <c r="K11" s="388" t="s">
        <v>68</v>
      </c>
      <c r="L11" s="388" t="s">
        <v>69</v>
      </c>
      <c r="M11" s="388" t="s">
        <v>70</v>
      </c>
      <c r="N11" s="388" t="s">
        <v>71</v>
      </c>
      <c r="O11" s="388" t="s">
        <v>21</v>
      </c>
      <c r="P11" s="117"/>
      <c r="Q11" s="117"/>
      <c r="R11" s="117"/>
      <c r="S11" s="117"/>
      <c r="T11" s="211" t="s">
        <v>106</v>
      </c>
      <c r="U11" s="212"/>
      <c r="V11" s="212" t="s">
        <v>107</v>
      </c>
      <c r="W11" s="212"/>
      <c r="X11" s="212" t="s">
        <v>108</v>
      </c>
      <c r="Y11" s="213"/>
      <c r="Z11" s="117"/>
      <c r="AA11" s="117"/>
      <c r="AB11" s="117"/>
      <c r="AC11" s="117"/>
    </row>
    <row r="12" spans="1:29" ht="15.75" x14ac:dyDescent="0.25">
      <c r="A12" s="117"/>
      <c r="B12" s="120" t="s">
        <v>109</v>
      </c>
      <c r="C12" s="438">
        <v>0.18</v>
      </c>
      <c r="D12" s="439">
        <v>508</v>
      </c>
      <c r="E12" s="439">
        <v>0.9</v>
      </c>
      <c r="F12" s="439">
        <v>90</v>
      </c>
      <c r="G12" s="439">
        <v>11</v>
      </c>
      <c r="H12" s="117"/>
      <c r="I12" s="117"/>
      <c r="J12" s="426" t="s">
        <v>110</v>
      </c>
      <c r="K12" s="427">
        <v>0.88</v>
      </c>
      <c r="L12" s="426">
        <v>340</v>
      </c>
      <c r="M12" s="475">
        <v>0.99</v>
      </c>
      <c r="N12" s="426">
        <v>100</v>
      </c>
      <c r="O12" s="428">
        <v>-50</v>
      </c>
      <c r="P12" s="117"/>
      <c r="Q12" s="117"/>
      <c r="R12" s="117"/>
      <c r="S12" s="117"/>
      <c r="T12" s="214" t="s">
        <v>111</v>
      </c>
      <c r="U12" s="88"/>
      <c r="V12" s="88" t="s">
        <v>112</v>
      </c>
      <c r="W12" s="88"/>
      <c r="X12" s="88" t="s">
        <v>107</v>
      </c>
      <c r="Y12" s="215"/>
      <c r="Z12" s="117"/>
      <c r="AA12" s="117"/>
      <c r="AB12" s="117"/>
      <c r="AC12" s="117"/>
    </row>
    <row r="13" spans="1:29" ht="15.75" x14ac:dyDescent="0.25">
      <c r="A13" s="117"/>
      <c r="B13" s="120" t="s">
        <v>113</v>
      </c>
      <c r="C13" s="438">
        <v>0.22</v>
      </c>
      <c r="D13" s="439">
        <v>448</v>
      </c>
      <c r="E13" s="439">
        <v>0.95</v>
      </c>
      <c r="F13" s="439">
        <v>105</v>
      </c>
      <c r="G13" s="439">
        <v>-1</v>
      </c>
      <c r="H13" s="117"/>
      <c r="I13" s="117"/>
      <c r="J13" s="429" t="s">
        <v>114</v>
      </c>
      <c r="K13" s="430">
        <v>0.88</v>
      </c>
      <c r="L13" s="429">
        <v>300</v>
      </c>
      <c r="M13" s="476">
        <v>1.06</v>
      </c>
      <c r="N13" s="429">
        <v>100</v>
      </c>
      <c r="O13" s="431">
        <v>-13</v>
      </c>
      <c r="P13" s="117"/>
      <c r="Q13" s="117"/>
      <c r="R13" s="117"/>
      <c r="S13" s="117"/>
      <c r="T13" s="216" t="s">
        <v>115</v>
      </c>
      <c r="U13" s="217"/>
      <c r="V13" s="217" t="s">
        <v>116</v>
      </c>
      <c r="W13" s="217"/>
      <c r="X13" s="217" t="s">
        <v>117</v>
      </c>
      <c r="Y13" s="218"/>
      <c r="Z13" s="117"/>
      <c r="AA13" s="117"/>
      <c r="AB13" s="117"/>
      <c r="AC13" s="117"/>
    </row>
    <row r="14" spans="1:29" ht="15.75" x14ac:dyDescent="0.25">
      <c r="A14" s="117"/>
      <c r="B14" s="120" t="s">
        <v>91</v>
      </c>
      <c r="C14" s="438">
        <v>0.22</v>
      </c>
      <c r="D14" s="439">
        <v>469</v>
      </c>
      <c r="E14" s="439">
        <v>0.95</v>
      </c>
      <c r="F14" s="439">
        <v>107</v>
      </c>
      <c r="G14" s="439">
        <v>57</v>
      </c>
      <c r="H14" s="117"/>
      <c r="I14" s="117"/>
      <c r="J14" s="429" t="s">
        <v>118</v>
      </c>
      <c r="K14" s="430">
        <v>0.87529999999999997</v>
      </c>
      <c r="L14" s="432">
        <v>295</v>
      </c>
      <c r="M14" s="476">
        <v>1.0900000000000001</v>
      </c>
      <c r="N14" s="429">
        <v>106</v>
      </c>
      <c r="O14" s="431">
        <v>-64</v>
      </c>
      <c r="P14" s="117"/>
      <c r="Q14" s="117"/>
      <c r="R14" s="117"/>
      <c r="S14" s="117"/>
      <c r="T14" s="117"/>
      <c r="U14" s="117"/>
      <c r="V14" s="117"/>
      <c r="W14" s="117"/>
      <c r="X14" s="117"/>
      <c r="Y14" s="117"/>
      <c r="Z14" s="117"/>
      <c r="AA14" s="117"/>
      <c r="AB14" s="117"/>
      <c r="AC14" s="117"/>
    </row>
    <row r="15" spans="1:29" ht="15.75" x14ac:dyDescent="0.25">
      <c r="A15" s="117"/>
      <c r="B15" s="120" t="s">
        <v>119</v>
      </c>
      <c r="C15" s="438">
        <v>0.15</v>
      </c>
      <c r="D15" s="439">
        <v>360</v>
      </c>
      <c r="E15" s="439">
        <v>1.07</v>
      </c>
      <c r="F15" s="439">
        <v>104</v>
      </c>
      <c r="G15" s="439">
        <v>35</v>
      </c>
      <c r="H15" s="117"/>
      <c r="I15" s="117"/>
      <c r="J15" s="429" t="s">
        <v>120</v>
      </c>
      <c r="K15" s="430">
        <v>0.85699999999999998</v>
      </c>
      <c r="L15" s="432">
        <v>162</v>
      </c>
      <c r="M15" s="476">
        <v>1.19</v>
      </c>
      <c r="N15" s="429">
        <v>113</v>
      </c>
      <c r="O15" s="431">
        <v>-53</v>
      </c>
      <c r="P15" s="117"/>
      <c r="Q15" s="117"/>
      <c r="R15" s="484" t="s">
        <v>121</v>
      </c>
      <c r="S15" s="485"/>
      <c r="T15" s="485"/>
      <c r="U15" s="485"/>
      <c r="V15" s="485"/>
      <c r="W15" s="485"/>
      <c r="X15" s="485"/>
      <c r="Y15" s="486"/>
      <c r="Z15" s="117"/>
      <c r="AA15" s="117"/>
      <c r="AB15" s="117"/>
      <c r="AC15" s="117"/>
    </row>
    <row r="16" spans="1:29" ht="15.75" x14ac:dyDescent="0.25">
      <c r="A16" s="117"/>
      <c r="B16" s="120" t="s">
        <v>122</v>
      </c>
      <c r="C16" s="440">
        <v>0.88</v>
      </c>
      <c r="D16" s="439">
        <v>483</v>
      </c>
      <c r="E16" s="439">
        <v>0.97</v>
      </c>
      <c r="F16" s="439">
        <v>101</v>
      </c>
      <c r="G16" s="439">
        <v>50</v>
      </c>
      <c r="H16" s="117"/>
      <c r="I16" s="117"/>
      <c r="J16" s="429" t="s">
        <v>123</v>
      </c>
      <c r="K16" s="430">
        <v>0.87849999999999995</v>
      </c>
      <c r="L16" s="432">
        <v>160</v>
      </c>
      <c r="M16" s="476">
        <v>1.1499999999999999</v>
      </c>
      <c r="N16" s="429">
        <v>322</v>
      </c>
      <c r="O16" s="431">
        <v>115</v>
      </c>
      <c r="P16" s="117"/>
      <c r="Q16" s="211" t="s">
        <v>68</v>
      </c>
      <c r="R16" s="212">
        <v>20</v>
      </c>
      <c r="S16" s="212">
        <v>25</v>
      </c>
      <c r="T16" s="212">
        <v>30</v>
      </c>
      <c r="U16" s="212">
        <v>35</v>
      </c>
      <c r="V16" s="212">
        <v>40</v>
      </c>
      <c r="W16" s="212">
        <v>45</v>
      </c>
      <c r="X16" s="212">
        <v>60</v>
      </c>
      <c r="Y16" s="213">
        <v>75</v>
      </c>
      <c r="Z16" s="117"/>
      <c r="AA16" s="117"/>
      <c r="AB16" s="117"/>
      <c r="AC16" s="117"/>
    </row>
    <row r="17" spans="1:29" ht="15.75" x14ac:dyDescent="0.25">
      <c r="A17" s="117"/>
      <c r="B17" s="120" t="s">
        <v>124</v>
      </c>
      <c r="C17" s="441">
        <v>0.88</v>
      </c>
      <c r="D17" s="439">
        <v>526</v>
      </c>
      <c r="E17" s="439">
        <v>0.92</v>
      </c>
      <c r="F17" s="439">
        <v>91</v>
      </c>
      <c r="G17" s="439">
        <v>25</v>
      </c>
      <c r="H17" s="117"/>
      <c r="I17" s="117"/>
      <c r="J17" s="429" t="s">
        <v>125</v>
      </c>
      <c r="K17" s="430">
        <v>0.79</v>
      </c>
      <c r="L17" s="432">
        <v>157</v>
      </c>
      <c r="M17" s="476">
        <v>1.1599999999999999</v>
      </c>
      <c r="N17" s="429">
        <v>104</v>
      </c>
      <c r="O17" s="431">
        <v>29</v>
      </c>
      <c r="P17" s="117"/>
      <c r="Q17" s="216" t="s">
        <v>126</v>
      </c>
      <c r="R17" s="217">
        <v>850</v>
      </c>
      <c r="S17" s="217">
        <v>800</v>
      </c>
      <c r="T17" s="217">
        <v>750</v>
      </c>
      <c r="U17" s="217">
        <v>700</v>
      </c>
      <c r="V17" s="217">
        <v>650</v>
      </c>
      <c r="W17" s="217">
        <v>600</v>
      </c>
      <c r="X17" s="217">
        <v>450</v>
      </c>
      <c r="Y17" s="218">
        <v>365</v>
      </c>
      <c r="Z17" s="117"/>
      <c r="AA17" s="117"/>
      <c r="AB17" s="117"/>
      <c r="AC17" s="117"/>
    </row>
    <row r="18" spans="1:29" ht="15.75" x14ac:dyDescent="0.25">
      <c r="A18" s="117"/>
      <c r="B18" s="120" t="s">
        <v>86</v>
      </c>
      <c r="C18" s="441">
        <v>0.88</v>
      </c>
      <c r="D18" s="439">
        <v>659</v>
      </c>
      <c r="E18" s="439">
        <v>0.85</v>
      </c>
      <c r="F18" s="439">
        <v>84</v>
      </c>
      <c r="G18" s="439">
        <v>18</v>
      </c>
      <c r="H18" s="117"/>
      <c r="I18" s="117"/>
      <c r="J18" s="429" t="s">
        <v>127</v>
      </c>
      <c r="K18" s="430">
        <v>0.88</v>
      </c>
      <c r="L18" s="432">
        <v>308</v>
      </c>
      <c r="M18" s="476">
        <v>0.99</v>
      </c>
      <c r="N18" s="429">
        <v>86</v>
      </c>
      <c r="O18" s="431">
        <v>27</v>
      </c>
      <c r="P18" s="117"/>
      <c r="Q18" s="117"/>
      <c r="R18" s="117"/>
      <c r="S18" s="117"/>
      <c r="T18" s="117"/>
      <c r="U18" s="117"/>
      <c r="V18" s="117"/>
      <c r="W18" s="117"/>
      <c r="X18" s="117"/>
      <c r="Y18" s="117"/>
      <c r="Z18" s="117"/>
      <c r="AA18" s="117"/>
      <c r="AB18" s="117"/>
      <c r="AC18" s="117"/>
    </row>
    <row r="19" spans="1:29" ht="15.75" x14ac:dyDescent="0.25">
      <c r="A19" s="117"/>
      <c r="B19" s="120" t="s">
        <v>128</v>
      </c>
      <c r="C19" s="441">
        <v>0.88</v>
      </c>
      <c r="D19" s="439">
        <v>701</v>
      </c>
      <c r="E19" s="439">
        <v>0.77</v>
      </c>
      <c r="F19" s="439">
        <v>78</v>
      </c>
      <c r="G19" s="439">
        <v>-12</v>
      </c>
      <c r="H19" s="117"/>
      <c r="I19" s="117"/>
      <c r="J19" s="429" t="s">
        <v>129</v>
      </c>
      <c r="K19" s="430">
        <v>0.88</v>
      </c>
      <c r="L19" s="432">
        <v>372</v>
      </c>
      <c r="M19" s="476">
        <v>1.1000000000000001</v>
      </c>
      <c r="N19" s="429">
        <v>90</v>
      </c>
      <c r="O19" s="431">
        <v>-63</v>
      </c>
      <c r="P19" s="117"/>
      <c r="Q19" s="117"/>
      <c r="R19" s="117"/>
      <c r="S19" s="117"/>
      <c r="T19" s="117"/>
      <c r="U19" s="117"/>
      <c r="V19" s="117"/>
      <c r="W19" s="117"/>
      <c r="X19" s="117"/>
      <c r="Y19" s="117"/>
      <c r="Z19" s="117"/>
      <c r="AA19" s="117"/>
      <c r="AB19" s="117"/>
      <c r="AC19" s="117"/>
    </row>
    <row r="20" spans="1:29" ht="15.75" x14ac:dyDescent="0.25">
      <c r="A20" s="117"/>
      <c r="B20" s="120" t="s">
        <v>130</v>
      </c>
      <c r="C20" s="441">
        <v>0.89500000000000002</v>
      </c>
      <c r="D20" s="439">
        <v>762</v>
      </c>
      <c r="E20" s="439">
        <v>0.5</v>
      </c>
      <c r="F20" s="439">
        <v>63</v>
      </c>
      <c r="G20" s="439">
        <v>-78</v>
      </c>
      <c r="H20" s="117"/>
      <c r="I20" s="117"/>
      <c r="J20" s="433" t="s">
        <v>131</v>
      </c>
      <c r="K20" s="434">
        <v>0.88</v>
      </c>
      <c r="L20" s="435">
        <v>97</v>
      </c>
      <c r="M20" s="477">
        <v>1.17</v>
      </c>
      <c r="N20" s="433">
        <v>184</v>
      </c>
      <c r="O20" s="436">
        <v>205</v>
      </c>
      <c r="P20" s="117"/>
      <c r="Q20" s="117"/>
      <c r="R20" s="117"/>
      <c r="S20" s="117"/>
      <c r="T20" s="117"/>
      <c r="U20" s="117"/>
      <c r="V20" s="117"/>
      <c r="W20" s="117"/>
      <c r="X20" s="117"/>
      <c r="Y20" s="117"/>
      <c r="Z20" s="117"/>
      <c r="AA20" s="117"/>
      <c r="AB20" s="117"/>
      <c r="AC20" s="117"/>
    </row>
    <row r="21" spans="1:29" ht="15.75" x14ac:dyDescent="0.25">
      <c r="A21" s="117"/>
      <c r="B21" s="120" t="s">
        <v>132</v>
      </c>
      <c r="C21" s="441">
        <v>0.13</v>
      </c>
      <c r="D21" s="439">
        <v>89</v>
      </c>
      <c r="E21" s="439">
        <v>1.01</v>
      </c>
      <c r="F21" s="439">
        <v>110</v>
      </c>
      <c r="G21" s="439">
        <v>-66</v>
      </c>
      <c r="H21" s="117"/>
      <c r="I21" s="117"/>
      <c r="J21" s="117"/>
      <c r="K21" s="117"/>
      <c r="L21" s="117"/>
      <c r="M21" s="117"/>
      <c r="N21" s="117"/>
      <c r="O21" s="117"/>
      <c r="P21" s="117"/>
      <c r="Q21" s="117"/>
      <c r="R21" s="117"/>
      <c r="S21" s="117"/>
      <c r="T21" s="117"/>
      <c r="U21" s="117"/>
      <c r="V21" s="117"/>
      <c r="W21" s="117"/>
      <c r="X21" s="117"/>
      <c r="Y21" s="117"/>
      <c r="Z21" s="117"/>
      <c r="AA21" s="117"/>
      <c r="AB21" s="117"/>
      <c r="AC21" s="117"/>
    </row>
    <row r="22" spans="1:29" ht="15.75" x14ac:dyDescent="0.25">
      <c r="A22" s="117"/>
      <c r="B22" s="120" t="s">
        <v>133</v>
      </c>
      <c r="C22" s="441">
        <v>0.2</v>
      </c>
      <c r="D22" s="439">
        <v>73</v>
      </c>
      <c r="E22" s="439">
        <v>1.1299999999999999</v>
      </c>
      <c r="F22" s="439">
        <v>102</v>
      </c>
      <c r="G22" s="439">
        <v>-98</v>
      </c>
      <c r="H22" s="117"/>
      <c r="I22" s="117"/>
      <c r="J22" s="117"/>
      <c r="K22" s="117"/>
      <c r="L22" s="117"/>
      <c r="M22" s="117"/>
      <c r="N22" s="117"/>
      <c r="O22" s="117"/>
      <c r="P22" s="117"/>
      <c r="Q22" s="117"/>
      <c r="R22" s="117"/>
      <c r="S22" s="117"/>
      <c r="T22" s="117"/>
      <c r="U22" s="117"/>
      <c r="V22" s="117"/>
      <c r="W22" s="117"/>
      <c r="X22" s="117"/>
      <c r="Y22" s="117"/>
      <c r="Z22" s="117"/>
      <c r="AA22" s="117"/>
      <c r="AB22" s="117"/>
      <c r="AC22" s="117"/>
    </row>
    <row r="23" spans="1:29" ht="19.5" x14ac:dyDescent="0.35">
      <c r="A23" s="117"/>
      <c r="B23" s="442" t="s">
        <v>134</v>
      </c>
      <c r="C23" s="443">
        <v>0.86</v>
      </c>
      <c r="D23" s="144">
        <v>745</v>
      </c>
      <c r="E23" s="144">
        <v>0.68</v>
      </c>
      <c r="F23" s="144">
        <v>75</v>
      </c>
      <c r="G23" s="144">
        <v>-38</v>
      </c>
      <c r="H23" s="117"/>
      <c r="I23" s="117"/>
      <c r="J23" s="117"/>
      <c r="K23" s="117"/>
      <c r="L23" s="117"/>
      <c r="M23" s="117"/>
      <c r="N23" s="117"/>
      <c r="O23" s="117"/>
      <c r="P23" s="117"/>
      <c r="Q23" s="117"/>
      <c r="R23" s="117"/>
      <c r="S23" s="117"/>
      <c r="T23" s="117"/>
      <c r="U23" s="117"/>
      <c r="V23" s="117"/>
      <c r="W23" s="117"/>
      <c r="X23" s="117"/>
      <c r="Y23" s="117"/>
      <c r="Z23" s="117"/>
      <c r="AA23" s="117"/>
      <c r="AB23" s="117"/>
      <c r="AC23" s="117"/>
    </row>
    <row r="24" spans="1:29" ht="15.75" x14ac:dyDescent="0.25">
      <c r="A24" s="117"/>
      <c r="B24" s="118"/>
      <c r="C24" s="118"/>
      <c r="D24" s="388" t="s">
        <v>135</v>
      </c>
      <c r="E24" s="118"/>
      <c r="F24" s="118"/>
      <c r="G24" s="118"/>
      <c r="H24" s="348"/>
      <c r="I24" s="437" t="s">
        <v>136</v>
      </c>
      <c r="J24" s="422"/>
      <c r="K24" s="347"/>
      <c r="L24" s="117"/>
      <c r="M24" s="117"/>
      <c r="N24" s="495" t="s">
        <v>137</v>
      </c>
      <c r="O24" s="495"/>
      <c r="P24" s="495"/>
      <c r="Q24" s="495"/>
      <c r="R24" s="495"/>
      <c r="S24" s="495"/>
      <c r="T24" s="495"/>
      <c r="U24" s="354" t="s">
        <v>138</v>
      </c>
      <c r="V24" s="355" t="s">
        <v>139</v>
      </c>
      <c r="W24" s="355" t="s">
        <v>140</v>
      </c>
      <c r="X24" s="355" t="s">
        <v>141</v>
      </c>
      <c r="Y24" s="355" t="s">
        <v>142</v>
      </c>
      <c r="Z24" s="355" t="s">
        <v>143</v>
      </c>
      <c r="AA24" s="356" t="s">
        <v>144</v>
      </c>
      <c r="AB24" s="356" t="s">
        <v>145</v>
      </c>
      <c r="AC24" s="117"/>
    </row>
    <row r="25" spans="1:29" ht="15.75" x14ac:dyDescent="0.25">
      <c r="A25" s="444" t="s">
        <v>146</v>
      </c>
      <c r="B25" s="388" t="s">
        <v>147</v>
      </c>
      <c r="C25" s="285" t="s">
        <v>68</v>
      </c>
      <c r="D25" s="337" t="s">
        <v>148</v>
      </c>
      <c r="E25" s="337" t="s">
        <v>70</v>
      </c>
      <c r="F25" s="337" t="s">
        <v>71</v>
      </c>
      <c r="G25" s="285" t="s">
        <v>21</v>
      </c>
      <c r="H25" s="302"/>
      <c r="I25" s="445" t="s">
        <v>149</v>
      </c>
      <c r="J25" s="446" t="s">
        <v>150</v>
      </c>
      <c r="K25" s="447" t="s">
        <v>151</v>
      </c>
      <c r="L25" s="447" t="s">
        <v>152</v>
      </c>
      <c r="M25" s="448" t="s">
        <v>153</v>
      </c>
      <c r="N25" s="349" t="s">
        <v>154</v>
      </c>
      <c r="O25" s="349" t="s">
        <v>155</v>
      </c>
      <c r="P25" s="349" t="s">
        <v>156</v>
      </c>
      <c r="Q25" s="349" t="s">
        <v>157</v>
      </c>
      <c r="R25" s="349" t="s">
        <v>158</v>
      </c>
      <c r="S25" s="349" t="s">
        <v>159</v>
      </c>
      <c r="T25" s="349" t="s">
        <v>160</v>
      </c>
      <c r="U25" s="354" t="s">
        <v>161</v>
      </c>
      <c r="V25" s="349" t="s">
        <v>161</v>
      </c>
      <c r="W25" s="349" t="s">
        <v>161</v>
      </c>
      <c r="X25" s="349" t="s">
        <v>161</v>
      </c>
      <c r="Y25" s="349" t="s">
        <v>161</v>
      </c>
      <c r="Z25" s="349" t="s">
        <v>161</v>
      </c>
      <c r="AA25" s="356" t="s">
        <v>161</v>
      </c>
      <c r="AB25" s="356" t="s">
        <v>162</v>
      </c>
      <c r="AC25" s="117"/>
    </row>
    <row r="26" spans="1:29" ht="15.75" x14ac:dyDescent="0.25">
      <c r="A26" s="88">
        <v>1</v>
      </c>
      <c r="B26" s="449" t="s">
        <v>163</v>
      </c>
      <c r="C26" s="463">
        <v>0.88</v>
      </c>
      <c r="D26" s="450">
        <f t="shared" ref="D26:D31" si="1">L26*10</f>
        <v>190</v>
      </c>
      <c r="E26" s="451">
        <f t="shared" ref="E26:E42" si="2">(I26/C26)/100</f>
        <v>1.0681818181818181</v>
      </c>
      <c r="F26" s="452">
        <f>(J26*(I26/100))/C26</f>
        <v>113.22727272727273</v>
      </c>
      <c r="G26" s="453">
        <f t="shared" ref="G26:G42" si="3">K26*(I26/100)/C26</f>
        <v>5.3409090909090899</v>
      </c>
      <c r="H26" s="325"/>
      <c r="I26" s="424">
        <v>94</v>
      </c>
      <c r="J26" s="418">
        <v>106</v>
      </c>
      <c r="K26" s="326">
        <v>5</v>
      </c>
      <c r="L26" s="421">
        <v>19</v>
      </c>
      <c r="M26" s="327"/>
      <c r="N26" s="357">
        <v>8.0000000000000002E-3</v>
      </c>
      <c r="O26" s="357">
        <v>5.5000000000000005E-3</v>
      </c>
      <c r="P26" s="357">
        <v>3.0000000000000001E-3</v>
      </c>
      <c r="Q26" s="357">
        <v>5.071692E-3</v>
      </c>
      <c r="R26" s="357">
        <v>8.0471510000000007E-3</v>
      </c>
      <c r="S26" s="357">
        <v>3.1737690000000003E-3</v>
      </c>
      <c r="T26" s="407">
        <v>3.0000000000000001E-3</v>
      </c>
      <c r="U26" s="351">
        <v>9.1415950000000006</v>
      </c>
      <c r="V26" s="350">
        <v>0.40000010000000003</v>
      </c>
      <c r="W26" s="350">
        <v>0.39</v>
      </c>
      <c r="X26" s="352">
        <v>61.51379</v>
      </c>
      <c r="Y26" s="352">
        <v>61.51379</v>
      </c>
      <c r="Z26" s="353">
        <v>4.3369660000000003</v>
      </c>
      <c r="AA26" s="351">
        <v>81.426770000000005</v>
      </c>
      <c r="AB26" s="351">
        <v>200</v>
      </c>
      <c r="AC26" s="117"/>
    </row>
    <row r="27" spans="1:29" ht="15.75" x14ac:dyDescent="0.25">
      <c r="A27" s="88">
        <f>A26+1</f>
        <v>2</v>
      </c>
      <c r="B27" s="120" t="s">
        <v>323</v>
      </c>
      <c r="C27" s="441">
        <v>0.88</v>
      </c>
      <c r="D27" s="454">
        <f t="shared" si="1"/>
        <v>225</v>
      </c>
      <c r="E27" s="455">
        <f t="shared" si="2"/>
        <v>1.0568181818181819</v>
      </c>
      <c r="F27" s="453">
        <f t="shared" ref="F27:F42" si="4">(J27*(I27/100))/C27</f>
        <v>124.70454545454547</v>
      </c>
      <c r="G27" s="453">
        <f t="shared" si="3"/>
        <v>10.568181818181818</v>
      </c>
      <c r="H27" s="328"/>
      <c r="I27" s="423">
        <v>93</v>
      </c>
      <c r="J27" s="419">
        <v>118</v>
      </c>
      <c r="K27" s="331">
        <v>10</v>
      </c>
      <c r="L27" s="331">
        <v>22.5</v>
      </c>
      <c r="M27" s="327"/>
      <c r="N27" s="357">
        <v>8.3000000000000001E-3</v>
      </c>
      <c r="O27" s="357">
        <v>5.5000000000000005E-3</v>
      </c>
      <c r="P27" s="357">
        <v>3.0000000000000001E-3</v>
      </c>
      <c r="Q27" s="357">
        <v>5.7000000000000002E-3</v>
      </c>
      <c r="R27" s="357">
        <v>9.4000000000000004E-3</v>
      </c>
      <c r="S27" s="357">
        <v>5.4000000000000003E-3</v>
      </c>
      <c r="T27" s="407">
        <v>3.0000000000000001E-3</v>
      </c>
      <c r="U27" s="351">
        <v>9</v>
      </c>
      <c r="V27" s="350">
        <v>0.45</v>
      </c>
      <c r="W27" s="350">
        <v>0.42</v>
      </c>
      <c r="X27" s="352">
        <v>113</v>
      </c>
      <c r="Y27" s="352">
        <v>57</v>
      </c>
      <c r="Z27" s="353">
        <v>5.44</v>
      </c>
      <c r="AA27" s="351">
        <v>88</v>
      </c>
      <c r="AB27" s="351">
        <v>200</v>
      </c>
      <c r="AC27" s="117"/>
    </row>
    <row r="28" spans="1:29" ht="15.75" x14ac:dyDescent="0.25">
      <c r="A28" s="88">
        <f t="shared" ref="A28:A46" si="5">A27+1</f>
        <v>3</v>
      </c>
      <c r="B28" s="120" t="s">
        <v>164</v>
      </c>
      <c r="C28" s="441">
        <v>0.88</v>
      </c>
      <c r="D28" s="456">
        <f>L28*10</f>
        <v>200</v>
      </c>
      <c r="E28" s="455">
        <f t="shared" si="2"/>
        <v>1.0909090909090908</v>
      </c>
      <c r="F28" s="456">
        <f t="shared" si="4"/>
        <v>133.09090909090907</v>
      </c>
      <c r="G28" s="453">
        <f t="shared" si="3"/>
        <v>5.4545454545454541</v>
      </c>
      <c r="H28" s="328"/>
      <c r="I28" s="423">
        <v>96</v>
      </c>
      <c r="J28" s="420">
        <v>122</v>
      </c>
      <c r="K28" s="331">
        <v>5</v>
      </c>
      <c r="L28" s="331">
        <v>20</v>
      </c>
      <c r="M28" s="329"/>
      <c r="N28" s="357">
        <v>8.0000000000000002E-3</v>
      </c>
      <c r="O28" s="357">
        <v>5.4999999999999997E-3</v>
      </c>
      <c r="P28" s="357">
        <v>3.0000000000000001E-3</v>
      </c>
      <c r="Q28" s="357">
        <v>7.0000000000000001E-3</v>
      </c>
      <c r="R28" s="357">
        <v>6.1999999999999998E-3</v>
      </c>
      <c r="S28" s="357">
        <v>0.01</v>
      </c>
      <c r="T28" s="407">
        <v>3.0000000000000001E-3</v>
      </c>
      <c r="U28" s="351">
        <v>8.9339460000000006</v>
      </c>
      <c r="V28" s="350">
        <v>0.39999990000000002</v>
      </c>
      <c r="W28" s="350">
        <v>0.40195380000000003</v>
      </c>
      <c r="X28" s="352">
        <v>98</v>
      </c>
      <c r="Y28" s="352">
        <v>50.236840000000001</v>
      </c>
      <c r="Z28" s="353">
        <v>4.1029299999999997</v>
      </c>
      <c r="AA28" s="351">
        <v>114.295</v>
      </c>
      <c r="AB28" s="351">
        <v>800</v>
      </c>
      <c r="AC28" s="117"/>
    </row>
    <row r="29" spans="1:29" ht="15.75" x14ac:dyDescent="0.25">
      <c r="A29" s="88">
        <f t="shared" si="5"/>
        <v>4</v>
      </c>
      <c r="B29" s="120" t="s">
        <v>322</v>
      </c>
      <c r="C29" s="441">
        <v>0.88</v>
      </c>
      <c r="D29" s="454">
        <f>L29*10</f>
        <v>196</v>
      </c>
      <c r="E29" s="455">
        <f t="shared" si="2"/>
        <v>1.1022727272727273</v>
      </c>
      <c r="F29" s="453">
        <f t="shared" si="4"/>
        <v>137.72897727272726</v>
      </c>
      <c r="G29" s="453">
        <f t="shared" si="3"/>
        <v>11.022727272727272</v>
      </c>
      <c r="H29" s="328"/>
      <c r="I29" s="423">
        <v>97</v>
      </c>
      <c r="J29" s="419">
        <v>124.95</v>
      </c>
      <c r="K29" s="331">
        <v>10</v>
      </c>
      <c r="L29" s="331">
        <v>19.600000000000001</v>
      </c>
      <c r="M29" s="327"/>
      <c r="N29" s="357">
        <v>8.0000000000000002E-3</v>
      </c>
      <c r="O29" s="357">
        <v>5.5000000000000005E-3</v>
      </c>
      <c r="P29" s="357">
        <v>3.0000000000000001E-3</v>
      </c>
      <c r="Q29" s="357">
        <v>7.1999999999999998E-3</v>
      </c>
      <c r="R29" s="357">
        <v>8.8999999999999999E-3</v>
      </c>
      <c r="S29" s="357">
        <v>5.1000000000000004E-3</v>
      </c>
      <c r="T29" s="407">
        <v>3.2000000000000002E-3</v>
      </c>
      <c r="U29" s="351">
        <v>9</v>
      </c>
      <c r="V29" s="350">
        <v>0.43</v>
      </c>
      <c r="W29" s="350">
        <v>0.4</v>
      </c>
      <c r="X29" s="352">
        <v>114</v>
      </c>
      <c r="Y29" s="352">
        <v>57</v>
      </c>
      <c r="Z29" s="353">
        <v>5.5</v>
      </c>
      <c r="AA29" s="351">
        <v>79</v>
      </c>
      <c r="AB29" s="351">
        <v>800</v>
      </c>
      <c r="AC29" s="117"/>
    </row>
    <row r="30" spans="1:29" ht="15.75" x14ac:dyDescent="0.25">
      <c r="A30" s="88">
        <f t="shared" si="5"/>
        <v>5</v>
      </c>
      <c r="B30" s="120" t="s">
        <v>165</v>
      </c>
      <c r="C30" s="441">
        <v>0.88</v>
      </c>
      <c r="D30" s="454">
        <f>L30*10</f>
        <v>340</v>
      </c>
      <c r="E30" s="455">
        <f t="shared" si="2"/>
        <v>0.90909090909090906</v>
      </c>
      <c r="F30" s="453">
        <f t="shared" si="4"/>
        <v>94.545454545454547</v>
      </c>
      <c r="G30" s="453">
        <f t="shared" si="3"/>
        <v>0</v>
      </c>
      <c r="H30" s="328"/>
      <c r="I30" s="423">
        <v>80</v>
      </c>
      <c r="J30" s="419">
        <v>104</v>
      </c>
      <c r="K30" s="331">
        <v>0</v>
      </c>
      <c r="L30" s="331">
        <v>34</v>
      </c>
      <c r="M30" s="327"/>
      <c r="N30" s="357">
        <v>8.4312020000000005E-3</v>
      </c>
      <c r="O30" s="357">
        <v>5.5000000000000005E-3</v>
      </c>
      <c r="P30" s="357">
        <v>3.0000000000000001E-3</v>
      </c>
      <c r="Q30" s="357">
        <v>6.5953779999999998E-3</v>
      </c>
      <c r="R30" s="357">
        <v>9.368178999999999E-3</v>
      </c>
      <c r="S30" s="357">
        <v>3.1749450000000002E-3</v>
      </c>
      <c r="T30" s="407">
        <v>3.0000000000000001E-3</v>
      </c>
      <c r="U30" s="351">
        <v>10.559329999999999</v>
      </c>
      <c r="V30" s="350">
        <v>0.40000010000000003</v>
      </c>
      <c r="W30" s="350">
        <v>0.37542740000000002</v>
      </c>
      <c r="X30" s="352">
        <v>114</v>
      </c>
      <c r="Y30" s="352">
        <v>91</v>
      </c>
      <c r="Z30" s="353">
        <v>4.6493779999999996</v>
      </c>
      <c r="AA30" s="351">
        <v>184</v>
      </c>
      <c r="AB30" s="351">
        <v>200</v>
      </c>
      <c r="AC30" s="117"/>
    </row>
    <row r="31" spans="1:29" ht="15.75" x14ac:dyDescent="0.25">
      <c r="A31" s="88">
        <f t="shared" si="5"/>
        <v>6</v>
      </c>
      <c r="B31" s="120" t="s">
        <v>324</v>
      </c>
      <c r="C31" s="441">
        <v>0.88</v>
      </c>
      <c r="D31" s="454">
        <f t="shared" si="1"/>
        <v>362</v>
      </c>
      <c r="E31" s="455">
        <f t="shared" si="2"/>
        <v>0.92045454545454541</v>
      </c>
      <c r="F31" s="453">
        <f t="shared" si="4"/>
        <v>94.806818181818187</v>
      </c>
      <c r="G31" s="453">
        <f t="shared" si="3"/>
        <v>11.965909090909092</v>
      </c>
      <c r="H31" s="328"/>
      <c r="I31" s="423">
        <v>81</v>
      </c>
      <c r="J31" s="419">
        <v>103</v>
      </c>
      <c r="K31" s="331">
        <v>13</v>
      </c>
      <c r="L31" s="331">
        <v>36.200000000000003</v>
      </c>
      <c r="M31" s="327"/>
      <c r="N31" s="357">
        <v>1.01E-2</v>
      </c>
      <c r="O31" s="357">
        <v>5.5000000000000005E-3</v>
      </c>
      <c r="P31" s="357">
        <v>3.0000000000000001E-3</v>
      </c>
      <c r="Q31" s="357">
        <v>7.0000000000000001E-3</v>
      </c>
      <c r="R31" s="357">
        <v>1.1900000000000001E-2</v>
      </c>
      <c r="S31" s="357">
        <v>6.1000000000000004E-3</v>
      </c>
      <c r="T31" s="407">
        <v>3.0000000000000001E-3</v>
      </c>
      <c r="U31" s="351">
        <v>11.38</v>
      </c>
      <c r="V31" s="350">
        <v>0.47</v>
      </c>
      <c r="W31" s="350">
        <v>0.43</v>
      </c>
      <c r="X31" s="352">
        <v>115</v>
      </c>
      <c r="Y31" s="352">
        <v>69</v>
      </c>
      <c r="Z31" s="353">
        <v>5.3</v>
      </c>
      <c r="AA31" s="351">
        <v>180</v>
      </c>
      <c r="AB31" s="351">
        <v>200</v>
      </c>
      <c r="AC31" s="117"/>
    </row>
    <row r="32" spans="1:29" ht="15.75" x14ac:dyDescent="0.25">
      <c r="A32" s="88">
        <f t="shared" si="5"/>
        <v>7</v>
      </c>
      <c r="B32" s="120" t="s">
        <v>166</v>
      </c>
      <c r="C32" s="441">
        <v>0.88</v>
      </c>
      <c r="D32" s="454">
        <f>L32*10</f>
        <v>270</v>
      </c>
      <c r="E32" s="455">
        <f t="shared" si="2"/>
        <v>1.0113636363636365</v>
      </c>
      <c r="F32" s="453">
        <f t="shared" si="4"/>
        <v>107.20454545454545</v>
      </c>
      <c r="G32" s="453">
        <f t="shared" si="3"/>
        <v>15.170454545454545</v>
      </c>
      <c r="H32" s="328"/>
      <c r="I32" s="423">
        <v>89</v>
      </c>
      <c r="J32" s="419">
        <v>106</v>
      </c>
      <c r="K32" s="331">
        <v>15</v>
      </c>
      <c r="L32" s="331">
        <v>27</v>
      </c>
      <c r="M32" s="471"/>
      <c r="N32" s="357">
        <v>1.2E-2</v>
      </c>
      <c r="O32" s="357">
        <v>4.9471100000000002E-3</v>
      </c>
      <c r="P32" s="357">
        <v>2.6832669999999996E-3</v>
      </c>
      <c r="Q32" s="357">
        <v>9.9999990000000007E-3</v>
      </c>
      <c r="R32" s="357">
        <v>9.7011579999999997E-3</v>
      </c>
      <c r="S32" s="357">
        <v>1.426901E-2</v>
      </c>
      <c r="T32" s="407">
        <v>2.5000000000000001E-3</v>
      </c>
      <c r="U32" s="351">
        <v>11.486319999999999</v>
      </c>
      <c r="V32" s="350">
        <v>0.39999990000000002</v>
      </c>
      <c r="W32" s="350">
        <v>0.39968179999999998</v>
      </c>
      <c r="X32" s="352">
        <v>84.181309999999996</v>
      </c>
      <c r="Y32" s="352">
        <v>84.181309999999996</v>
      </c>
      <c r="Z32" s="353">
        <v>4.6051140000000004</v>
      </c>
      <c r="AA32" s="351">
        <v>185.73500000000001</v>
      </c>
      <c r="AB32" s="351">
        <v>200</v>
      </c>
      <c r="AC32" s="117"/>
    </row>
    <row r="33" spans="1:29" ht="15.75" x14ac:dyDescent="0.25">
      <c r="A33" s="88">
        <f t="shared" si="5"/>
        <v>8</v>
      </c>
      <c r="B33" s="120" t="s">
        <v>325</v>
      </c>
      <c r="C33" s="441">
        <v>0.88</v>
      </c>
      <c r="D33" s="456">
        <v>200</v>
      </c>
      <c r="E33" s="455">
        <f t="shared" si="2"/>
        <v>1.0568181818181819</v>
      </c>
      <c r="F33" s="456">
        <f t="shared" si="4"/>
        <v>124.70454545454547</v>
      </c>
      <c r="G33" s="453">
        <f t="shared" si="3"/>
        <v>10.568181818181818</v>
      </c>
      <c r="H33" s="328"/>
      <c r="I33" s="423">
        <v>93</v>
      </c>
      <c r="J33" s="419">
        <v>118</v>
      </c>
      <c r="K33" s="331">
        <v>10</v>
      </c>
      <c r="L33" s="331">
        <v>21</v>
      </c>
      <c r="M33" s="329"/>
      <c r="N33" s="357">
        <v>8.0000000000000002E-3</v>
      </c>
      <c r="O33" s="357">
        <v>5.4999999999999997E-3</v>
      </c>
      <c r="P33" s="357">
        <v>3.0000000000000001E-3</v>
      </c>
      <c r="Q33" s="357">
        <v>5.8999999999999999E-3</v>
      </c>
      <c r="R33" s="357">
        <v>8.8999999999999999E-3</v>
      </c>
      <c r="S33" s="357">
        <v>5.1999999999999998E-3</v>
      </c>
      <c r="T33" s="407">
        <v>3.0000000000000001E-3</v>
      </c>
      <c r="U33" s="351">
        <v>9</v>
      </c>
      <c r="V33" s="350">
        <v>0.45</v>
      </c>
      <c r="W33" s="350">
        <v>0.46</v>
      </c>
      <c r="X33" s="352">
        <v>117</v>
      </c>
      <c r="Y33" s="352">
        <v>60</v>
      </c>
      <c r="Z33" s="353">
        <v>5.4</v>
      </c>
      <c r="AA33" s="351">
        <v>94</v>
      </c>
      <c r="AB33" s="351">
        <v>200</v>
      </c>
      <c r="AC33" s="117"/>
    </row>
    <row r="34" spans="1:29" ht="15.75" x14ac:dyDescent="0.25">
      <c r="A34" s="88">
        <f t="shared" si="5"/>
        <v>9</v>
      </c>
      <c r="B34" s="120" t="s">
        <v>320</v>
      </c>
      <c r="C34" s="441">
        <v>0.88</v>
      </c>
      <c r="D34" s="456">
        <f>L34*10</f>
        <v>270</v>
      </c>
      <c r="E34" s="455">
        <f t="shared" si="2"/>
        <v>1.0227272727272727</v>
      </c>
      <c r="F34" s="456">
        <f>(J34*(I34/100))/C34</f>
        <v>118.63636363636364</v>
      </c>
      <c r="G34" s="453">
        <f>K34*(I34/100)/C34</f>
        <v>11.25</v>
      </c>
      <c r="H34" s="328"/>
      <c r="I34" s="423">
        <v>90</v>
      </c>
      <c r="J34" s="419">
        <v>116</v>
      </c>
      <c r="K34" s="331">
        <v>11</v>
      </c>
      <c r="L34" s="331">
        <v>27</v>
      </c>
      <c r="M34" s="329"/>
      <c r="N34" s="357">
        <v>1.1000000000000001E-2</v>
      </c>
      <c r="O34" s="357">
        <v>4.0000000000000001E-3</v>
      </c>
      <c r="P34" s="357">
        <v>1.9E-3</v>
      </c>
      <c r="Q34" s="357">
        <v>8.0000000000000002E-3</v>
      </c>
      <c r="R34" s="357">
        <v>1.0999999999999999E-2</v>
      </c>
      <c r="S34" s="357">
        <v>1.3299999999999999E-2</v>
      </c>
      <c r="T34" s="407">
        <v>2.5000000000000001E-3</v>
      </c>
      <c r="U34" s="351">
        <v>11.49</v>
      </c>
      <c r="V34" s="350">
        <v>0.47</v>
      </c>
      <c r="W34" s="350">
        <v>0.45</v>
      </c>
      <c r="X34" s="352">
        <v>111</v>
      </c>
      <c r="Y34" s="352">
        <v>60</v>
      </c>
      <c r="Z34" s="353">
        <v>6.1</v>
      </c>
      <c r="AA34" s="351">
        <v>192</v>
      </c>
      <c r="AB34" s="351">
        <v>100</v>
      </c>
      <c r="AC34" s="117"/>
    </row>
    <row r="35" spans="1:29" ht="15.75" x14ac:dyDescent="0.25">
      <c r="A35" s="88">
        <f>A34+1</f>
        <v>10</v>
      </c>
      <c r="B35" s="120" t="s">
        <v>167</v>
      </c>
      <c r="C35" s="441">
        <v>0.88</v>
      </c>
      <c r="D35" s="456">
        <f t="shared" ref="D35:D36" si="6">L35*10</f>
        <v>210</v>
      </c>
      <c r="E35" s="455">
        <f t="shared" ref="E35:E36" si="7">(I35/C35)/100</f>
        <v>1.0340909090909092</v>
      </c>
      <c r="F35" s="456">
        <f t="shared" ref="F35:F36" si="8">(J35*(I35/100))/C35</f>
        <v>116.85227272727272</v>
      </c>
      <c r="G35" s="453">
        <f t="shared" ref="G35:G36" si="9">K35*(I35/100)/C35</f>
        <v>5.170454545454545</v>
      </c>
      <c r="H35" s="328"/>
      <c r="I35" s="423">
        <v>91</v>
      </c>
      <c r="J35" s="419">
        <v>113</v>
      </c>
      <c r="K35" s="331">
        <v>5</v>
      </c>
      <c r="L35" s="331">
        <v>21</v>
      </c>
      <c r="M35" s="329"/>
      <c r="N35" s="357">
        <v>8.0000000000000002E-3</v>
      </c>
      <c r="O35" s="357">
        <v>5.4999999999999997E-3</v>
      </c>
      <c r="P35" s="357">
        <v>3.0000000000000001E-3</v>
      </c>
      <c r="Q35" s="357">
        <v>7.0000000000000001E-3</v>
      </c>
      <c r="R35" s="357">
        <v>8.6999999999999994E-3</v>
      </c>
      <c r="S35" s="357">
        <v>5.0000000000000001E-3</v>
      </c>
      <c r="T35" s="407">
        <v>3.0000000000000001E-3</v>
      </c>
      <c r="U35" s="351">
        <v>8.5</v>
      </c>
      <c r="V35" s="350">
        <v>0.4</v>
      </c>
      <c r="W35" s="350">
        <v>0.37</v>
      </c>
      <c r="X35" s="352">
        <v>198</v>
      </c>
      <c r="Y35" s="352">
        <v>54</v>
      </c>
      <c r="Z35" s="353">
        <v>4.2</v>
      </c>
      <c r="AA35" s="351">
        <v>116</v>
      </c>
      <c r="AB35" s="351">
        <v>200</v>
      </c>
      <c r="AC35" s="117"/>
    </row>
    <row r="36" spans="1:29" ht="15.75" x14ac:dyDescent="0.25">
      <c r="A36" s="88">
        <f>A35+1</f>
        <v>11</v>
      </c>
      <c r="B36" s="120" t="s">
        <v>321</v>
      </c>
      <c r="C36" s="441">
        <v>0.88</v>
      </c>
      <c r="D36" s="456">
        <f t="shared" si="6"/>
        <v>208</v>
      </c>
      <c r="E36" s="455">
        <f t="shared" si="7"/>
        <v>1.0681818181818181</v>
      </c>
      <c r="F36" s="456">
        <f t="shared" si="8"/>
        <v>121.77272727272727</v>
      </c>
      <c r="G36" s="453">
        <f t="shared" si="9"/>
        <v>10.68181818181818</v>
      </c>
      <c r="H36" s="328"/>
      <c r="I36" s="423">
        <v>94</v>
      </c>
      <c r="J36" s="419">
        <v>114</v>
      </c>
      <c r="K36" s="331">
        <v>10</v>
      </c>
      <c r="L36" s="331">
        <v>20.8</v>
      </c>
      <c r="M36" s="329"/>
      <c r="N36" s="357">
        <v>8.0000000000000002E-3</v>
      </c>
      <c r="O36" s="357">
        <v>5.4999999999999997E-3</v>
      </c>
      <c r="P36" s="357">
        <v>3.0000000000000001E-3</v>
      </c>
      <c r="Q36" s="357">
        <v>6.6E-3</v>
      </c>
      <c r="R36" s="357">
        <v>7.1999999999999998E-3</v>
      </c>
      <c r="S36" s="357">
        <v>4.7000000000000002E-3</v>
      </c>
      <c r="T36" s="407">
        <v>3.0000000000000001E-3</v>
      </c>
      <c r="U36" s="351">
        <v>9</v>
      </c>
      <c r="V36" s="350">
        <v>0.45</v>
      </c>
      <c r="W36" s="350">
        <v>0.48</v>
      </c>
      <c r="X36" s="352">
        <v>124</v>
      </c>
      <c r="Y36" s="352">
        <v>59</v>
      </c>
      <c r="Z36" s="353">
        <v>5.8</v>
      </c>
      <c r="AA36" s="351">
        <v>87</v>
      </c>
      <c r="AB36" s="351">
        <v>200</v>
      </c>
      <c r="AC36" s="117"/>
    </row>
    <row r="37" spans="1:29" ht="15.75" x14ac:dyDescent="0.25">
      <c r="A37" s="88">
        <f>A36+1</f>
        <v>12</v>
      </c>
      <c r="B37" s="120" t="s">
        <v>168</v>
      </c>
      <c r="C37" s="443">
        <v>0.88</v>
      </c>
      <c r="D37" s="456">
        <f>L37*10</f>
        <v>207</v>
      </c>
      <c r="E37" s="455">
        <f t="shared" si="2"/>
        <v>1.0568181818181819</v>
      </c>
      <c r="F37" s="456">
        <f>(J37*(I37/100))/C37</f>
        <v>122.59090909090911</v>
      </c>
      <c r="G37" s="453">
        <f>K37*(I37/100)/C37</f>
        <v>5.2840909090909092</v>
      </c>
      <c r="H37" s="328"/>
      <c r="I37" s="423">
        <v>93</v>
      </c>
      <c r="J37" s="419">
        <v>116</v>
      </c>
      <c r="K37" s="331">
        <v>5</v>
      </c>
      <c r="L37" s="331">
        <v>20.7</v>
      </c>
      <c r="M37" s="329"/>
      <c r="N37" s="357">
        <v>8.0000000000000002E-3</v>
      </c>
      <c r="O37" s="357">
        <v>6.0000000000000001E-3</v>
      </c>
      <c r="P37" s="357">
        <v>3.4999999999999996E-3</v>
      </c>
      <c r="Q37" s="357">
        <v>5.8999999999999999E-3</v>
      </c>
      <c r="R37" s="357">
        <v>8.199999999999999E-3</v>
      </c>
      <c r="S37" s="357">
        <v>8.5000000000000006E-3</v>
      </c>
      <c r="T37" s="407">
        <v>3.0000000000000001E-3</v>
      </c>
      <c r="U37" s="351">
        <v>11</v>
      </c>
      <c r="V37" s="350">
        <v>0.4</v>
      </c>
      <c r="W37" s="350">
        <v>0.39</v>
      </c>
      <c r="X37" s="352">
        <v>56</v>
      </c>
      <c r="Y37" s="352">
        <v>56</v>
      </c>
      <c r="Z37" s="353">
        <v>3.8</v>
      </c>
      <c r="AA37" s="351">
        <v>177</v>
      </c>
      <c r="AB37" s="351">
        <v>200</v>
      </c>
      <c r="AC37" s="117"/>
    </row>
    <row r="38" spans="1:29" ht="15.75" x14ac:dyDescent="0.25">
      <c r="A38" s="88">
        <f t="shared" si="5"/>
        <v>13</v>
      </c>
      <c r="B38" s="482" t="s">
        <v>169</v>
      </c>
      <c r="C38" s="441">
        <v>0.88</v>
      </c>
      <c r="D38" s="449">
        <f t="shared" ref="D38:D42" si="10">L38*10</f>
        <v>160</v>
      </c>
      <c r="E38" s="451">
        <f t="shared" si="2"/>
        <v>1.1704545454545454</v>
      </c>
      <c r="F38" s="457">
        <f t="shared" si="4"/>
        <v>138.11363636363637</v>
      </c>
      <c r="G38" s="452">
        <f t="shared" si="3"/>
        <v>-2.3409090909090908</v>
      </c>
      <c r="H38" s="325"/>
      <c r="I38" s="424">
        <v>103</v>
      </c>
      <c r="J38" s="332">
        <v>118</v>
      </c>
      <c r="K38" s="326">
        <v>-2</v>
      </c>
      <c r="L38" s="326">
        <v>16</v>
      </c>
      <c r="M38" s="472"/>
      <c r="N38" s="357">
        <v>8.0999999999999996E-3</v>
      </c>
      <c r="O38" s="357">
        <v>4.3E-3</v>
      </c>
      <c r="P38" s="357">
        <v>3.7000000000000002E-3</v>
      </c>
      <c r="Q38" s="357">
        <v>3.5000000000000001E-3</v>
      </c>
      <c r="R38" s="357">
        <v>8.8000000000000005E-3</v>
      </c>
      <c r="S38" s="357">
        <v>4.4999999999999997E-3</v>
      </c>
      <c r="T38" s="407">
        <v>2.5000000000000001E-3</v>
      </c>
      <c r="U38" s="351">
        <v>0</v>
      </c>
      <c r="V38" s="350">
        <v>0.4</v>
      </c>
      <c r="W38" s="350">
        <v>0.4</v>
      </c>
      <c r="X38" s="352">
        <v>70</v>
      </c>
      <c r="Y38" s="352">
        <v>30</v>
      </c>
      <c r="Z38" s="353">
        <v>2</v>
      </c>
      <c r="AA38" s="351">
        <v>0</v>
      </c>
      <c r="AB38" s="351">
        <v>200</v>
      </c>
      <c r="AC38" s="117"/>
    </row>
    <row r="39" spans="1:29" ht="15.75" x14ac:dyDescent="0.25">
      <c r="A39" s="88">
        <f t="shared" si="5"/>
        <v>14</v>
      </c>
      <c r="B39" s="439" t="s">
        <v>317</v>
      </c>
      <c r="C39" s="441">
        <v>0.88</v>
      </c>
      <c r="D39" s="458">
        <f t="shared" si="10"/>
        <v>150</v>
      </c>
      <c r="E39" s="455">
        <f t="shared" si="2"/>
        <v>1.1477272727272727</v>
      </c>
      <c r="F39" s="456">
        <f t="shared" si="4"/>
        <v>120.51136363636363</v>
      </c>
      <c r="G39" s="453">
        <f t="shared" si="3"/>
        <v>19.511363636363637</v>
      </c>
      <c r="H39" s="328"/>
      <c r="I39" s="423">
        <v>101</v>
      </c>
      <c r="J39" s="330">
        <v>105</v>
      </c>
      <c r="K39" s="327">
        <v>17</v>
      </c>
      <c r="L39" s="327">
        <v>15</v>
      </c>
      <c r="M39" s="473"/>
      <c r="N39" s="357">
        <v>9.1000000000000004E-3</v>
      </c>
      <c r="O39" s="357">
        <v>4.5999999999999999E-3</v>
      </c>
      <c r="P39" s="357">
        <v>4.1999999999999997E-3</v>
      </c>
      <c r="Q39" s="357">
        <v>4.1000000000000003E-3</v>
      </c>
      <c r="R39" s="357">
        <v>6.3E-3</v>
      </c>
      <c r="S39" s="357">
        <v>5.4999999999999997E-3</v>
      </c>
      <c r="T39" s="407">
        <v>2.7000000000000001E-3</v>
      </c>
      <c r="U39" s="351">
        <v>0</v>
      </c>
      <c r="V39" s="350">
        <v>0.4</v>
      </c>
      <c r="W39" s="350">
        <v>0.4</v>
      </c>
      <c r="X39" s="352">
        <v>70</v>
      </c>
      <c r="Y39" s="352">
        <v>30</v>
      </c>
      <c r="Z39" s="353">
        <v>2</v>
      </c>
      <c r="AA39" s="351">
        <v>0</v>
      </c>
      <c r="AB39" s="351">
        <v>200</v>
      </c>
      <c r="AC39" s="117"/>
    </row>
    <row r="40" spans="1:29" ht="15.75" x14ac:dyDescent="0.25">
      <c r="A40" s="88">
        <f t="shared" si="5"/>
        <v>15</v>
      </c>
      <c r="B40" s="439" t="s">
        <v>170</v>
      </c>
      <c r="C40" s="441">
        <v>0.88</v>
      </c>
      <c r="D40" s="458">
        <f t="shared" si="10"/>
        <v>250</v>
      </c>
      <c r="E40" s="455">
        <f t="shared" si="2"/>
        <v>1.0454545454545454</v>
      </c>
      <c r="F40" s="456">
        <f t="shared" si="4"/>
        <v>117.09090909090909</v>
      </c>
      <c r="G40" s="453">
        <f t="shared" si="3"/>
        <v>-3.1363636363636367</v>
      </c>
      <c r="H40" s="328"/>
      <c r="I40" s="423">
        <v>92</v>
      </c>
      <c r="J40" s="330">
        <v>112</v>
      </c>
      <c r="K40" s="327">
        <v>-3</v>
      </c>
      <c r="L40" s="327">
        <v>25</v>
      </c>
      <c r="M40" s="473"/>
      <c r="N40" s="357">
        <v>7.7000000000000002E-3</v>
      </c>
      <c r="O40" s="357">
        <v>4.0000000000000001E-3</v>
      </c>
      <c r="P40" s="357">
        <v>3.0999999999999999E-3</v>
      </c>
      <c r="Q40" s="357">
        <v>5.0000000000000001E-3</v>
      </c>
      <c r="R40" s="357">
        <v>7.9000000000000008E-3</v>
      </c>
      <c r="S40" s="357">
        <v>5.1999999999999998E-3</v>
      </c>
      <c r="T40" s="407">
        <v>2.5999999999999999E-3</v>
      </c>
      <c r="U40" s="351">
        <v>0</v>
      </c>
      <c r="V40" s="350">
        <v>0.4</v>
      </c>
      <c r="W40" s="350">
        <v>0.4</v>
      </c>
      <c r="X40" s="352">
        <v>70</v>
      </c>
      <c r="Y40" s="352">
        <v>30</v>
      </c>
      <c r="Z40" s="353">
        <v>2</v>
      </c>
      <c r="AA40" s="351">
        <v>0</v>
      </c>
      <c r="AB40" s="351">
        <v>120</v>
      </c>
      <c r="AC40" s="117"/>
    </row>
    <row r="41" spans="1:29" ht="15.75" x14ac:dyDescent="0.25">
      <c r="A41" s="88">
        <f t="shared" si="5"/>
        <v>16</v>
      </c>
      <c r="B41" s="439" t="s">
        <v>171</v>
      </c>
      <c r="C41" s="441">
        <v>0.88</v>
      </c>
      <c r="D41" s="458">
        <f t="shared" si="10"/>
        <v>210</v>
      </c>
      <c r="E41" s="455">
        <f t="shared" si="2"/>
        <v>1.0681818181818181</v>
      </c>
      <c r="F41" s="456">
        <f t="shared" si="4"/>
        <v>112.15909090909089</v>
      </c>
      <c r="G41" s="453">
        <f t="shared" si="3"/>
        <v>-5.3409090909090899</v>
      </c>
      <c r="H41" s="328"/>
      <c r="I41" s="423">
        <v>94</v>
      </c>
      <c r="J41" s="330">
        <v>105</v>
      </c>
      <c r="K41" s="327">
        <v>-5</v>
      </c>
      <c r="L41" s="327">
        <v>21</v>
      </c>
      <c r="M41" s="473"/>
      <c r="N41" s="357">
        <v>6.6E-3</v>
      </c>
      <c r="O41" s="357">
        <v>5.3E-3</v>
      </c>
      <c r="P41" s="357">
        <v>3.3999999999999998E-3</v>
      </c>
      <c r="Q41" s="357">
        <v>2.7000000000000001E-3</v>
      </c>
      <c r="R41" s="357">
        <v>7.1000000000000004E-3</v>
      </c>
      <c r="S41" s="357">
        <v>4.5999999999999999E-3</v>
      </c>
      <c r="T41" s="407">
        <v>2.3E-3</v>
      </c>
      <c r="U41" s="351">
        <v>0</v>
      </c>
      <c r="V41" s="350">
        <v>0.4</v>
      </c>
      <c r="W41" s="350">
        <v>0.4</v>
      </c>
      <c r="X41" s="352">
        <v>70</v>
      </c>
      <c r="Y41" s="352">
        <v>30</v>
      </c>
      <c r="Z41" s="353">
        <v>2</v>
      </c>
      <c r="AA41" s="351">
        <v>0</v>
      </c>
      <c r="AB41" s="351">
        <v>120</v>
      </c>
      <c r="AC41" s="117"/>
    </row>
    <row r="42" spans="1:29" ht="15.75" x14ac:dyDescent="0.25">
      <c r="A42" s="88">
        <f t="shared" si="5"/>
        <v>17</v>
      </c>
      <c r="B42" s="144" t="s">
        <v>318</v>
      </c>
      <c r="C42" s="443">
        <v>0.88</v>
      </c>
      <c r="D42" s="442">
        <f t="shared" si="10"/>
        <v>160</v>
      </c>
      <c r="E42" s="460">
        <f t="shared" si="2"/>
        <v>1.1363636363636365</v>
      </c>
      <c r="F42" s="461">
        <f t="shared" si="4"/>
        <v>113.63636363636364</v>
      </c>
      <c r="G42" s="462">
        <f t="shared" si="3"/>
        <v>-2.2727272727272729</v>
      </c>
      <c r="H42" s="333"/>
      <c r="I42" s="425">
        <v>100</v>
      </c>
      <c r="J42" s="416">
        <v>100</v>
      </c>
      <c r="K42" s="417">
        <v>-2</v>
      </c>
      <c r="L42" s="417">
        <v>16</v>
      </c>
      <c r="M42" s="474"/>
      <c r="N42" s="357">
        <v>6.1000000000000004E-3</v>
      </c>
      <c r="O42" s="357">
        <v>6.1000000000000004E-3</v>
      </c>
      <c r="P42" s="357">
        <v>3.0999999999999999E-3</v>
      </c>
      <c r="Q42" s="357">
        <v>2.8E-3</v>
      </c>
      <c r="R42" s="357">
        <v>5.1999999999999998E-3</v>
      </c>
      <c r="S42" s="357">
        <v>3.8E-3</v>
      </c>
      <c r="T42" s="407">
        <v>2.0999999999999999E-3</v>
      </c>
      <c r="U42" s="351">
        <v>0</v>
      </c>
      <c r="V42" s="350">
        <v>0</v>
      </c>
      <c r="W42" s="350">
        <v>0.4</v>
      </c>
      <c r="X42" s="352">
        <v>70</v>
      </c>
      <c r="Y42" s="352">
        <v>30</v>
      </c>
      <c r="Z42" s="353">
        <v>2</v>
      </c>
      <c r="AA42" s="351">
        <v>0</v>
      </c>
      <c r="AB42" s="351">
        <v>120</v>
      </c>
      <c r="AC42" s="117"/>
    </row>
    <row r="43" spans="1:29" ht="15.75" x14ac:dyDescent="0.25">
      <c r="A43" s="88">
        <f t="shared" si="5"/>
        <v>18</v>
      </c>
      <c r="B43" s="439" t="s">
        <v>172</v>
      </c>
      <c r="C43" s="441">
        <v>0.88</v>
      </c>
      <c r="D43" s="120">
        <v>281</v>
      </c>
      <c r="E43" s="455">
        <v>1.06</v>
      </c>
      <c r="F43" s="456">
        <v>108</v>
      </c>
      <c r="G43" s="453">
        <v>17</v>
      </c>
      <c r="H43" s="328"/>
      <c r="I43" s="423"/>
      <c r="J43" s="330"/>
      <c r="K43" s="327"/>
      <c r="L43" s="327"/>
      <c r="M43" s="471"/>
      <c r="N43" s="357">
        <v>1.1000000000000001E-2</v>
      </c>
      <c r="O43" s="357">
        <v>4.4000000000000003E-3</v>
      </c>
      <c r="P43" s="357">
        <v>3.4999999999999996E-3</v>
      </c>
      <c r="Q43" s="357">
        <v>5.0000000000000001E-3</v>
      </c>
      <c r="R43" s="357">
        <v>8.8000000000000005E-3</v>
      </c>
      <c r="S43" s="357">
        <v>6.8999999999999999E-3</v>
      </c>
      <c r="T43" s="407">
        <v>2E-3</v>
      </c>
      <c r="U43" s="351">
        <v>9</v>
      </c>
      <c r="V43" s="350">
        <v>0.48</v>
      </c>
      <c r="W43" s="350">
        <v>0.48</v>
      </c>
      <c r="X43" s="352">
        <v>85</v>
      </c>
      <c r="Y43" s="352">
        <v>77</v>
      </c>
      <c r="Z43" s="353">
        <v>3</v>
      </c>
      <c r="AA43" s="351">
        <v>173</v>
      </c>
      <c r="AB43" s="351">
        <v>100</v>
      </c>
      <c r="AC43" s="117"/>
    </row>
    <row r="44" spans="1:29" ht="15.75" x14ac:dyDescent="0.25">
      <c r="A44" s="88">
        <f t="shared" si="5"/>
        <v>19</v>
      </c>
      <c r="B44" s="439" t="s">
        <v>173</v>
      </c>
      <c r="C44" s="441">
        <v>0.88</v>
      </c>
      <c r="D44" s="458">
        <v>340</v>
      </c>
      <c r="E44" s="455">
        <v>1.04</v>
      </c>
      <c r="F44" s="456">
        <v>99</v>
      </c>
      <c r="G44" s="453">
        <v>8</v>
      </c>
      <c r="H44" s="328"/>
      <c r="I44" s="423"/>
      <c r="J44" s="330"/>
      <c r="K44" s="327"/>
      <c r="L44" s="327"/>
      <c r="M44" s="471"/>
      <c r="N44" s="357">
        <v>1.3000000000000001E-2</v>
      </c>
      <c r="O44" s="357">
        <v>4.1999999999999997E-3</v>
      </c>
      <c r="P44" s="357">
        <v>2.5999999999999999E-3</v>
      </c>
      <c r="Q44" s="357">
        <v>8.0000000000000002E-3</v>
      </c>
      <c r="R44" s="357">
        <v>1.3000000000000001E-2</v>
      </c>
      <c r="S44" s="357">
        <v>1.21E-2</v>
      </c>
      <c r="T44" s="407">
        <v>1.8E-3</v>
      </c>
      <c r="U44" s="351">
        <v>9</v>
      </c>
      <c r="V44" s="350">
        <v>0.47</v>
      </c>
      <c r="W44" s="350">
        <v>0.47</v>
      </c>
      <c r="X44" s="352">
        <v>90</v>
      </c>
      <c r="Y44" s="352">
        <v>83</v>
      </c>
      <c r="Z44" s="353">
        <v>2</v>
      </c>
      <c r="AA44" s="351">
        <v>173</v>
      </c>
      <c r="AB44" s="351">
        <v>150</v>
      </c>
      <c r="AC44" s="117"/>
    </row>
    <row r="45" spans="1:29" ht="15.75" x14ac:dyDescent="0.25">
      <c r="A45" s="88">
        <f t="shared" si="5"/>
        <v>20</v>
      </c>
      <c r="B45" s="439" t="s">
        <v>174</v>
      </c>
      <c r="C45" s="441">
        <v>0.88</v>
      </c>
      <c r="D45" s="458">
        <v>220</v>
      </c>
      <c r="E45" s="455">
        <f t="shared" ref="E45:E47" si="11">(I45/C45)/100</f>
        <v>0</v>
      </c>
      <c r="F45" s="456">
        <v>104</v>
      </c>
      <c r="G45" s="453">
        <v>11</v>
      </c>
      <c r="H45" s="328"/>
      <c r="I45" s="423"/>
      <c r="J45" s="330"/>
      <c r="K45" s="327"/>
      <c r="L45" s="327"/>
      <c r="M45" s="471"/>
      <c r="N45" s="357">
        <v>1.1000000000000001E-2</v>
      </c>
      <c r="O45" s="357">
        <v>6.8000000000000005E-3</v>
      </c>
      <c r="P45" s="357">
        <v>3.0000000000000001E-3</v>
      </c>
      <c r="Q45" s="357">
        <v>5.0000000000000001E-3</v>
      </c>
      <c r="R45" s="357">
        <v>8.6E-3</v>
      </c>
      <c r="S45" s="357">
        <v>7.0999999999999995E-3</v>
      </c>
      <c r="T45" s="407">
        <v>1.8E-3</v>
      </c>
      <c r="U45" s="351">
        <v>9</v>
      </c>
      <c r="V45" s="350">
        <v>0.53</v>
      </c>
      <c r="W45" s="350">
        <v>0.46</v>
      </c>
      <c r="X45" s="352">
        <v>85</v>
      </c>
      <c r="Y45" s="352">
        <v>70</v>
      </c>
      <c r="Z45" s="353">
        <v>2</v>
      </c>
      <c r="AA45" s="351">
        <v>121</v>
      </c>
      <c r="AB45" s="351">
        <v>650</v>
      </c>
      <c r="AC45" s="117"/>
    </row>
    <row r="46" spans="1:29" ht="15.75" x14ac:dyDescent="0.25">
      <c r="A46" s="88">
        <f t="shared" si="5"/>
        <v>21</v>
      </c>
      <c r="B46" s="439" t="s">
        <v>175</v>
      </c>
      <c r="C46" s="441">
        <v>0.88</v>
      </c>
      <c r="D46" s="458">
        <v>249</v>
      </c>
      <c r="E46" s="455">
        <v>1.06</v>
      </c>
      <c r="F46" s="454">
        <v>128</v>
      </c>
      <c r="G46" s="453">
        <v>17</v>
      </c>
      <c r="H46" s="328"/>
      <c r="I46" s="423"/>
      <c r="J46" s="330"/>
      <c r="K46" s="327"/>
      <c r="L46" s="327"/>
      <c r="M46" s="471"/>
      <c r="N46" s="357">
        <v>8.6E-3</v>
      </c>
      <c r="O46" s="357">
        <v>4.7999999999999996E-3</v>
      </c>
      <c r="P46" s="357">
        <v>3.0999999999999999E-3</v>
      </c>
      <c r="Q46" s="357">
        <v>3.4999999999999996E-3</v>
      </c>
      <c r="R46" s="357">
        <v>9.1999999999999998E-3</v>
      </c>
      <c r="S46" s="357">
        <v>5.1000000000000004E-3</v>
      </c>
      <c r="T46" s="407">
        <v>2.2000000000000001E-3</v>
      </c>
      <c r="U46" s="351">
        <v>9</v>
      </c>
      <c r="V46" s="350">
        <v>0.48</v>
      </c>
      <c r="W46" s="350">
        <v>0.46</v>
      </c>
      <c r="X46" s="352">
        <v>85</v>
      </c>
      <c r="Y46" s="352">
        <v>70</v>
      </c>
      <c r="Z46" s="353">
        <v>2</v>
      </c>
      <c r="AA46" s="351">
        <v>128</v>
      </c>
      <c r="AB46" s="351">
        <v>250</v>
      </c>
      <c r="AC46" s="117"/>
    </row>
    <row r="47" spans="1:29" ht="15.75" x14ac:dyDescent="0.25">
      <c r="A47" s="88">
        <f>A46+1</f>
        <v>22</v>
      </c>
      <c r="B47" s="439" t="s">
        <v>176</v>
      </c>
      <c r="C47" s="441">
        <v>0.88</v>
      </c>
      <c r="D47" s="458">
        <f t="shared" ref="D47" si="12">L47*10</f>
        <v>0</v>
      </c>
      <c r="E47" s="455">
        <f t="shared" si="11"/>
        <v>0</v>
      </c>
      <c r="F47" s="454">
        <v>137</v>
      </c>
      <c r="G47" s="453">
        <v>19</v>
      </c>
      <c r="H47" s="328"/>
      <c r="I47" s="423"/>
      <c r="J47" s="330"/>
      <c r="K47" s="327"/>
      <c r="L47" s="327"/>
      <c r="M47" s="471"/>
      <c r="N47" s="357">
        <v>8.3000000000000001E-3</v>
      </c>
      <c r="O47" s="357">
        <v>4.8999999999999998E-3</v>
      </c>
      <c r="P47" s="357">
        <v>3.3E-3</v>
      </c>
      <c r="Q47" s="357">
        <v>3.5000000000000001E-3</v>
      </c>
      <c r="R47" s="357">
        <v>9.1999999999999998E-3</v>
      </c>
      <c r="S47" s="357">
        <v>2.5999999999999999E-3</v>
      </c>
      <c r="T47" s="407">
        <v>2.2000000000000001E-3</v>
      </c>
      <c r="U47" s="351">
        <v>9</v>
      </c>
      <c r="V47" s="350">
        <v>0.48</v>
      </c>
      <c r="W47" s="350">
        <v>0.46</v>
      </c>
      <c r="X47" s="352">
        <v>85</v>
      </c>
      <c r="Y47" s="352">
        <v>70</v>
      </c>
      <c r="Z47" s="353">
        <v>2</v>
      </c>
      <c r="AA47" s="351">
        <v>120</v>
      </c>
      <c r="AB47" s="351">
        <v>250</v>
      </c>
      <c r="AC47" s="117"/>
    </row>
    <row r="48" spans="1:29" ht="15.75" x14ac:dyDescent="0.25">
      <c r="A48" s="217">
        <f>A47+1</f>
        <v>23</v>
      </c>
      <c r="B48" s="439" t="s">
        <v>177</v>
      </c>
      <c r="C48" s="443">
        <v>0.88</v>
      </c>
      <c r="D48" s="459">
        <v>186</v>
      </c>
      <c r="E48" s="460">
        <v>1.19</v>
      </c>
      <c r="F48" s="464">
        <v>137</v>
      </c>
      <c r="G48" s="462">
        <v>19</v>
      </c>
      <c r="H48" s="333"/>
      <c r="I48" s="425"/>
      <c r="J48" s="416"/>
      <c r="K48" s="417"/>
      <c r="L48" s="417"/>
      <c r="M48" s="474"/>
      <c r="N48" s="357">
        <v>8.2000000000000007E-3</v>
      </c>
      <c r="O48" s="357">
        <v>4.1000000000000003E-3</v>
      </c>
      <c r="P48" s="357">
        <v>3.7000000000000002E-3</v>
      </c>
      <c r="Q48" s="357">
        <v>3.5000000000000001E-3</v>
      </c>
      <c r="R48" s="357">
        <v>8.8000000000000005E-3</v>
      </c>
      <c r="S48" s="357">
        <v>2.8E-3</v>
      </c>
      <c r="T48" s="407">
        <v>2.2000000000000001E-3</v>
      </c>
      <c r="U48" s="351">
        <v>7</v>
      </c>
      <c r="V48" s="350">
        <v>0.36</v>
      </c>
      <c r="W48" s="350">
        <v>0.35</v>
      </c>
      <c r="X48" s="352">
        <v>64</v>
      </c>
      <c r="Y48" s="352">
        <v>53</v>
      </c>
      <c r="Z48" s="353">
        <v>1.5</v>
      </c>
      <c r="AA48" s="351">
        <v>90</v>
      </c>
      <c r="AB48" s="351">
        <v>187</v>
      </c>
      <c r="AC48" s="117"/>
    </row>
    <row r="49" spans="1:29" ht="15.75" x14ac:dyDescent="0.25">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row>
    <row r="50" spans="1:29" ht="15.75" x14ac:dyDescent="0.25">
      <c r="A50" s="117"/>
      <c r="B50" s="466" t="s">
        <v>178</v>
      </c>
      <c r="C50" s="465"/>
      <c r="D50" s="465"/>
      <c r="E50" s="465"/>
      <c r="F50" s="465"/>
      <c r="G50" s="465"/>
      <c r="H50" s="465"/>
      <c r="I50" s="465"/>
      <c r="J50" s="465"/>
      <c r="K50" s="465"/>
      <c r="L50" s="465"/>
      <c r="M50" s="465"/>
      <c r="N50" s="465"/>
      <c r="O50" s="465"/>
      <c r="P50" s="465"/>
      <c r="Q50" s="465"/>
      <c r="R50" s="117"/>
      <c r="S50" s="117"/>
      <c r="T50" s="117"/>
      <c r="U50" s="117"/>
      <c r="V50" s="117"/>
      <c r="W50" s="117"/>
      <c r="X50" s="117"/>
      <c r="Y50" s="117"/>
      <c r="Z50" s="117"/>
      <c r="AA50" s="117"/>
      <c r="AB50" s="117"/>
      <c r="AC50" s="117"/>
    </row>
    <row r="51" spans="1:29" ht="15.75" x14ac:dyDescent="0.25">
      <c r="A51" s="117"/>
      <c r="B51" s="467"/>
      <c r="C51" s="496" t="s">
        <v>179</v>
      </c>
      <c r="D51" s="496"/>
      <c r="E51" s="496"/>
      <c r="F51" s="496"/>
      <c r="G51" s="496"/>
      <c r="H51" s="496"/>
      <c r="I51" s="496"/>
      <c r="J51" s="362"/>
      <c r="K51" s="496" t="s">
        <v>180</v>
      </c>
      <c r="L51" s="496"/>
      <c r="M51" s="363" t="s">
        <v>161</v>
      </c>
      <c r="N51" s="497" t="s">
        <v>161</v>
      </c>
      <c r="O51" s="497"/>
      <c r="P51" s="497"/>
      <c r="Q51" s="497"/>
      <c r="R51" s="497"/>
      <c r="S51" s="497"/>
      <c r="T51" s="497"/>
      <c r="U51" s="498"/>
      <c r="V51" s="117"/>
    </row>
    <row r="52" spans="1:29" ht="15.75" x14ac:dyDescent="0.25">
      <c r="A52" s="117"/>
      <c r="B52" s="468"/>
      <c r="C52" s="364" t="s">
        <v>154</v>
      </c>
      <c r="D52" s="364" t="s">
        <v>155</v>
      </c>
      <c r="E52" s="364" t="s">
        <v>156</v>
      </c>
      <c r="F52" s="364" t="s">
        <v>157</v>
      </c>
      <c r="G52" s="364" t="s">
        <v>158</v>
      </c>
      <c r="H52" s="364" t="s">
        <v>159</v>
      </c>
      <c r="I52" s="364" t="s">
        <v>160</v>
      </c>
      <c r="J52" s="364"/>
      <c r="K52" s="364" t="s">
        <v>181</v>
      </c>
      <c r="L52" s="364" t="s">
        <v>182</v>
      </c>
      <c r="M52" s="364" t="s">
        <v>183</v>
      </c>
      <c r="N52" s="469" t="s">
        <v>138</v>
      </c>
      <c r="O52" s="469" t="s">
        <v>139</v>
      </c>
      <c r="P52" s="469" t="s">
        <v>140</v>
      </c>
      <c r="Q52" s="469" t="s">
        <v>141</v>
      </c>
      <c r="R52" s="469" t="s">
        <v>142</v>
      </c>
      <c r="S52" s="469" t="s">
        <v>143</v>
      </c>
      <c r="T52" s="469" t="s">
        <v>144</v>
      </c>
      <c r="U52" s="470" t="s">
        <v>184</v>
      </c>
      <c r="V52" s="117"/>
    </row>
    <row r="53" spans="1:29" ht="15.75" x14ac:dyDescent="0.25">
      <c r="A53">
        <v>1</v>
      </c>
      <c r="B53" s="365" t="s">
        <v>185</v>
      </c>
      <c r="C53" s="366">
        <v>49.46</v>
      </c>
      <c r="D53" s="366">
        <v>30</v>
      </c>
      <c r="E53" s="366">
        <v>40</v>
      </c>
      <c r="F53" s="366">
        <v>40</v>
      </c>
      <c r="G53" s="366">
        <v>3.46</v>
      </c>
      <c r="H53" s="366">
        <v>62.37</v>
      </c>
      <c r="I53" s="366">
        <v>1.145</v>
      </c>
      <c r="J53" s="366"/>
      <c r="K53" s="366">
        <v>200</v>
      </c>
      <c r="L53" s="366">
        <v>60</v>
      </c>
      <c r="M53" s="366">
        <v>1000</v>
      </c>
      <c r="N53" s="366">
        <v>0</v>
      </c>
      <c r="O53" s="366">
        <v>12.5</v>
      </c>
      <c r="P53" s="366">
        <v>30.05</v>
      </c>
      <c r="Q53" s="366">
        <v>2000</v>
      </c>
      <c r="R53" s="366">
        <v>1500</v>
      </c>
      <c r="S53" s="367">
        <v>75</v>
      </c>
      <c r="T53" s="368">
        <v>0</v>
      </c>
      <c r="U53" s="368">
        <v>0</v>
      </c>
      <c r="V53" s="117"/>
    </row>
    <row r="54" spans="1:29" ht="15.75" x14ac:dyDescent="0.25">
      <c r="A54">
        <f>A53+1</f>
        <v>2</v>
      </c>
      <c r="B54" s="365" t="s">
        <v>186</v>
      </c>
      <c r="C54" s="369">
        <v>95</v>
      </c>
      <c r="D54" s="369">
        <v>50</v>
      </c>
      <c r="E54" s="369">
        <v>77</v>
      </c>
      <c r="F54" s="369">
        <v>103</v>
      </c>
      <c r="G54" s="369">
        <v>1.32</v>
      </c>
      <c r="H54" s="369">
        <v>145.41999999999999</v>
      </c>
      <c r="I54" s="369">
        <v>0.25040000000000001</v>
      </c>
      <c r="J54" s="369"/>
      <c r="K54" s="369">
        <v>400</v>
      </c>
      <c r="L54" s="369">
        <v>120</v>
      </c>
      <c r="M54" s="369">
        <v>2000</v>
      </c>
      <c r="N54" s="369">
        <v>0</v>
      </c>
      <c r="O54" s="369">
        <v>25</v>
      </c>
      <c r="P54" s="369">
        <v>60.1</v>
      </c>
      <c r="Q54" s="369">
        <v>4000</v>
      </c>
      <c r="R54" s="369">
        <v>3000</v>
      </c>
      <c r="S54" s="370">
        <v>150</v>
      </c>
      <c r="T54" s="368">
        <v>0</v>
      </c>
      <c r="U54" s="368">
        <v>0</v>
      </c>
      <c r="V54" s="117"/>
    </row>
    <row r="55" spans="1:29" ht="15.75" x14ac:dyDescent="0.25">
      <c r="A55">
        <f t="shared" ref="A55:A63" si="13">A54+1</f>
        <v>3</v>
      </c>
      <c r="B55" s="365" t="s">
        <v>187</v>
      </c>
      <c r="C55" s="369">
        <v>100</v>
      </c>
      <c r="D55" s="369">
        <v>60</v>
      </c>
      <c r="E55" s="369">
        <v>60</v>
      </c>
      <c r="F55" s="369">
        <v>70</v>
      </c>
      <c r="G55" s="369"/>
      <c r="H55" s="369"/>
      <c r="I55" s="369"/>
      <c r="J55" s="369"/>
      <c r="K55" s="369">
        <v>400</v>
      </c>
      <c r="L55" s="369">
        <v>120</v>
      </c>
      <c r="M55" s="369">
        <v>2000</v>
      </c>
      <c r="N55" s="369">
        <v>0</v>
      </c>
      <c r="O55" s="369">
        <v>25</v>
      </c>
      <c r="P55" s="369">
        <v>40</v>
      </c>
      <c r="Q55" s="369">
        <v>4000</v>
      </c>
      <c r="R55" s="369">
        <v>3000</v>
      </c>
      <c r="S55" s="370">
        <v>150</v>
      </c>
      <c r="T55" s="368">
        <v>0</v>
      </c>
      <c r="U55" s="368">
        <v>0</v>
      </c>
      <c r="V55" s="117"/>
    </row>
    <row r="56" spans="1:29" ht="15.75" x14ac:dyDescent="0.25">
      <c r="A56">
        <f t="shared" si="13"/>
        <v>4</v>
      </c>
      <c r="B56" s="365" t="s">
        <v>188</v>
      </c>
      <c r="C56" s="366">
        <v>102.8</v>
      </c>
      <c r="D56" s="366">
        <v>121.37</v>
      </c>
      <c r="E56" s="366">
        <v>51.58</v>
      </c>
      <c r="F56" s="366">
        <v>96.05</v>
      </c>
      <c r="G56" s="366">
        <v>0</v>
      </c>
      <c r="H56" s="366">
        <v>147.80000000000001</v>
      </c>
      <c r="I56" s="366">
        <v>0</v>
      </c>
      <c r="J56" s="366"/>
      <c r="K56" s="366">
        <v>400</v>
      </c>
      <c r="L56" s="366">
        <v>120</v>
      </c>
      <c r="M56" s="366">
        <v>2000</v>
      </c>
      <c r="N56" s="366">
        <v>0</v>
      </c>
      <c r="O56" s="366">
        <v>25</v>
      </c>
      <c r="P56" s="366">
        <v>60.1</v>
      </c>
      <c r="Q56" s="366">
        <v>4000</v>
      </c>
      <c r="R56" s="366">
        <v>3000</v>
      </c>
      <c r="S56" s="367">
        <v>150</v>
      </c>
      <c r="T56" s="368">
        <v>0</v>
      </c>
      <c r="U56" s="368">
        <v>0</v>
      </c>
      <c r="V56" s="117"/>
    </row>
    <row r="57" spans="1:29" ht="15.75" x14ac:dyDescent="0.25">
      <c r="A57">
        <f t="shared" si="13"/>
        <v>5</v>
      </c>
      <c r="B57" s="371" t="s">
        <v>189</v>
      </c>
      <c r="C57" s="372">
        <v>1.01</v>
      </c>
      <c r="D57" s="372">
        <v>2.88</v>
      </c>
      <c r="E57" s="372">
        <v>1.1200000000000001</v>
      </c>
      <c r="F57" s="372">
        <v>0.24</v>
      </c>
      <c r="G57" s="372">
        <v>4.96</v>
      </c>
      <c r="H57" s="372">
        <v>1.72</v>
      </c>
      <c r="I57" s="372">
        <v>1.52</v>
      </c>
      <c r="J57" s="372"/>
      <c r="K57" s="372">
        <v>0</v>
      </c>
      <c r="L57" s="372">
        <v>0</v>
      </c>
      <c r="M57" s="372">
        <v>15000</v>
      </c>
      <c r="N57" s="372">
        <v>0</v>
      </c>
      <c r="O57" s="372">
        <v>0</v>
      </c>
      <c r="P57" s="372">
        <v>0</v>
      </c>
      <c r="Q57" s="372">
        <v>0</v>
      </c>
      <c r="R57" s="372">
        <v>0</v>
      </c>
      <c r="S57" s="372">
        <v>0</v>
      </c>
      <c r="T57" s="372">
        <v>0</v>
      </c>
      <c r="U57" s="372">
        <v>0</v>
      </c>
      <c r="V57" s="117"/>
    </row>
    <row r="58" spans="1:29" ht="15.75" x14ac:dyDescent="0.25">
      <c r="A58">
        <f t="shared" si="13"/>
        <v>6</v>
      </c>
      <c r="B58" s="371" t="s">
        <v>190</v>
      </c>
      <c r="C58" s="372">
        <v>111.14</v>
      </c>
      <c r="D58" s="372">
        <v>40</v>
      </c>
      <c r="E58" s="372">
        <v>1.55</v>
      </c>
      <c r="F58" s="372">
        <v>30</v>
      </c>
      <c r="G58" s="372">
        <v>3.04</v>
      </c>
      <c r="H58" s="372">
        <v>47.21</v>
      </c>
      <c r="I58" s="372">
        <v>0.85250000000000004</v>
      </c>
      <c r="J58" s="372"/>
      <c r="K58" s="372">
        <v>0</v>
      </c>
      <c r="L58" s="372">
        <v>0</v>
      </c>
      <c r="M58" s="372">
        <v>5000</v>
      </c>
      <c r="N58" s="372">
        <v>0</v>
      </c>
      <c r="O58" s="372">
        <v>20</v>
      </c>
      <c r="P58" s="372">
        <v>0</v>
      </c>
      <c r="Q58" s="372">
        <v>0</v>
      </c>
      <c r="R58" s="372">
        <v>0</v>
      </c>
      <c r="S58" s="372">
        <v>0</v>
      </c>
      <c r="T58" s="372">
        <v>0</v>
      </c>
      <c r="U58" s="372">
        <v>100</v>
      </c>
      <c r="V58" s="117"/>
    </row>
    <row r="59" spans="1:29" ht="15.75" x14ac:dyDescent="0.25">
      <c r="A59">
        <f t="shared" si="13"/>
        <v>7</v>
      </c>
      <c r="B59" s="373" t="s">
        <v>191</v>
      </c>
      <c r="C59" s="374">
        <v>1</v>
      </c>
      <c r="D59" s="374">
        <v>0</v>
      </c>
      <c r="E59" s="374">
        <v>1</v>
      </c>
      <c r="F59" s="374">
        <v>385</v>
      </c>
      <c r="G59" s="374">
        <v>0</v>
      </c>
      <c r="H59" s="375">
        <v>592.9</v>
      </c>
      <c r="I59" s="374">
        <v>0</v>
      </c>
      <c r="J59" s="374"/>
      <c r="K59" s="374">
        <v>0</v>
      </c>
      <c r="L59" s="374">
        <v>0</v>
      </c>
      <c r="M59" s="374">
        <v>0</v>
      </c>
      <c r="N59" s="374">
        <v>300</v>
      </c>
      <c r="O59" s="374">
        <v>30</v>
      </c>
      <c r="P59" s="374">
        <v>20</v>
      </c>
      <c r="Q59" s="374">
        <v>120</v>
      </c>
      <c r="R59" s="376">
        <v>150</v>
      </c>
      <c r="S59" s="374">
        <v>50</v>
      </c>
      <c r="T59" s="374">
        <v>3540</v>
      </c>
      <c r="U59" s="376">
        <v>0</v>
      </c>
      <c r="V59" s="117"/>
    </row>
    <row r="60" spans="1:29" ht="15.75" x14ac:dyDescent="0.25">
      <c r="A60">
        <f t="shared" si="13"/>
        <v>8</v>
      </c>
      <c r="B60" s="373" t="s">
        <v>192</v>
      </c>
      <c r="C60" s="374">
        <v>90</v>
      </c>
      <c r="D60" s="374">
        <v>50</v>
      </c>
      <c r="E60" s="374">
        <v>80</v>
      </c>
      <c r="F60" s="374">
        <v>120</v>
      </c>
      <c r="G60" s="374"/>
      <c r="H60" s="375"/>
      <c r="I60" s="374"/>
      <c r="J60" s="374"/>
      <c r="K60" s="374">
        <v>400</v>
      </c>
      <c r="L60" s="374">
        <v>120</v>
      </c>
      <c r="M60" s="374">
        <v>2000</v>
      </c>
      <c r="N60" s="374"/>
      <c r="O60" s="374">
        <v>25</v>
      </c>
      <c r="P60" s="374">
        <v>60</v>
      </c>
      <c r="Q60" s="374">
        <v>4000</v>
      </c>
      <c r="R60" s="374">
        <v>3000</v>
      </c>
      <c r="S60" s="374">
        <v>150</v>
      </c>
      <c r="T60" s="374">
        <v>0</v>
      </c>
      <c r="U60" s="376">
        <v>0</v>
      </c>
      <c r="V60" s="117"/>
    </row>
    <row r="61" spans="1:29" ht="15.75" x14ac:dyDescent="0.25">
      <c r="A61">
        <f t="shared" si="13"/>
        <v>9</v>
      </c>
      <c r="B61" s="373" t="s">
        <v>193</v>
      </c>
      <c r="C61" s="374">
        <v>2</v>
      </c>
      <c r="D61" s="374">
        <v>0</v>
      </c>
      <c r="E61" s="374">
        <v>2</v>
      </c>
      <c r="F61" s="374">
        <v>385</v>
      </c>
      <c r="G61" s="374">
        <v>0</v>
      </c>
      <c r="H61" s="375">
        <v>592.9</v>
      </c>
      <c r="I61" s="374">
        <v>0</v>
      </c>
      <c r="J61" s="374"/>
      <c r="K61" s="374">
        <v>0</v>
      </c>
      <c r="L61" s="374">
        <v>0</v>
      </c>
      <c r="M61" s="374">
        <v>0</v>
      </c>
      <c r="N61" s="374">
        <v>0</v>
      </c>
      <c r="O61" s="374">
        <v>30</v>
      </c>
      <c r="P61" s="374">
        <v>20</v>
      </c>
      <c r="Q61" s="374">
        <v>120</v>
      </c>
      <c r="R61" s="374">
        <v>170</v>
      </c>
      <c r="S61" s="374">
        <v>50</v>
      </c>
      <c r="T61" s="374">
        <v>0</v>
      </c>
      <c r="U61" s="376">
        <v>0</v>
      </c>
      <c r="V61" s="117"/>
    </row>
    <row r="62" spans="1:29" ht="15.75" x14ac:dyDescent="0.25">
      <c r="A62">
        <f t="shared" si="13"/>
        <v>10</v>
      </c>
      <c r="B62" s="373" t="s">
        <v>194</v>
      </c>
      <c r="C62" s="374">
        <v>129</v>
      </c>
      <c r="D62" s="374">
        <v>80</v>
      </c>
      <c r="E62" s="374">
        <v>80</v>
      </c>
      <c r="F62" s="374">
        <v>60</v>
      </c>
      <c r="G62" s="374"/>
      <c r="H62" s="375"/>
      <c r="I62" s="374"/>
      <c r="J62" s="374"/>
      <c r="K62" s="374"/>
      <c r="L62" s="374"/>
      <c r="M62" s="374">
        <v>10000</v>
      </c>
      <c r="N62" s="374">
        <v>50</v>
      </c>
      <c r="O62" s="374">
        <v>50</v>
      </c>
      <c r="P62" s="374">
        <v>40</v>
      </c>
      <c r="Q62" s="374">
        <v>6000</v>
      </c>
      <c r="R62" s="374">
        <v>3000</v>
      </c>
      <c r="S62" s="374"/>
      <c r="T62" s="374"/>
      <c r="U62" s="376"/>
      <c r="V62" s="117"/>
    </row>
    <row r="63" spans="1:29" ht="15.75" x14ac:dyDescent="0.25">
      <c r="A63">
        <f t="shared" si="13"/>
        <v>11</v>
      </c>
      <c r="B63" s="373" t="s">
        <v>195</v>
      </c>
      <c r="C63" s="374">
        <v>219</v>
      </c>
      <c r="D63" s="374"/>
      <c r="E63" s="374"/>
      <c r="F63" s="374">
        <v>39</v>
      </c>
      <c r="G63" s="374"/>
      <c r="H63" s="375"/>
      <c r="I63" s="374"/>
      <c r="J63" s="374"/>
      <c r="K63" s="374"/>
      <c r="L63" s="374"/>
      <c r="M63" s="374">
        <v>25000</v>
      </c>
      <c r="N63" s="374"/>
      <c r="O63" s="374">
        <v>50</v>
      </c>
      <c r="P63" s="374"/>
      <c r="Q63" s="374"/>
      <c r="R63" s="374"/>
      <c r="S63" s="374"/>
      <c r="T63" s="374"/>
      <c r="U63" s="376">
        <v>37.799999999999997</v>
      </c>
      <c r="V63" s="117"/>
    </row>
    <row r="64" spans="1:29" ht="15.75" x14ac:dyDescent="0.25">
      <c r="A64" s="117"/>
      <c r="B64" s="117"/>
      <c r="C64" s="117"/>
      <c r="D64" s="117"/>
      <c r="E64" s="117"/>
      <c r="F64" s="117"/>
      <c r="G64" s="117"/>
      <c r="H64" s="117"/>
      <c r="I64" s="117"/>
      <c r="J64" s="117"/>
      <c r="K64" s="117"/>
      <c r="L64" s="117"/>
      <c r="M64" s="117"/>
      <c r="N64" s="117"/>
      <c r="O64" s="117"/>
      <c r="P64" s="117"/>
      <c r="Q64" s="117"/>
      <c r="R64" s="117"/>
      <c r="S64" s="117"/>
      <c r="T64" s="117"/>
      <c r="U64" s="117"/>
      <c r="V64" s="117"/>
    </row>
    <row r="65" spans="1:22" ht="15.75" x14ac:dyDescent="0.25">
      <c r="A65" s="117"/>
      <c r="B65" s="117"/>
      <c r="C65" s="117"/>
      <c r="D65" s="117"/>
      <c r="E65" s="117"/>
      <c r="F65" s="117"/>
      <c r="G65" s="117"/>
      <c r="H65" s="117"/>
      <c r="I65" s="117"/>
      <c r="J65" s="117"/>
      <c r="K65" s="117"/>
      <c r="L65" s="117"/>
      <c r="M65" s="117"/>
      <c r="N65" s="117"/>
      <c r="O65" s="117"/>
      <c r="P65" s="117"/>
      <c r="Q65" s="117"/>
      <c r="R65" s="117"/>
      <c r="S65" s="117"/>
      <c r="T65" s="117"/>
      <c r="U65" s="117"/>
      <c r="V65" s="117"/>
    </row>
  </sheetData>
  <mergeCells count="4">
    <mergeCell ref="N24:T24"/>
    <mergeCell ref="C51:I51"/>
    <mergeCell ref="K51:L51"/>
    <mergeCell ref="N51:U51"/>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R139"/>
  <sheetViews>
    <sheetView workbookViewId="0">
      <selection activeCell="K10" sqref="K10"/>
    </sheetView>
  </sheetViews>
  <sheetFormatPr baseColWidth="10" defaultColWidth="11.42578125" defaultRowHeight="15" x14ac:dyDescent="0.25"/>
  <cols>
    <col min="1" max="1" width="4.140625" customWidth="1"/>
    <col min="2" max="2" width="6.28515625" customWidth="1"/>
    <col min="3" max="3" width="39" customWidth="1"/>
    <col min="4" max="4" width="19.85546875" customWidth="1"/>
    <col min="9" max="9" width="11.5703125" customWidth="1"/>
    <col min="10" max="10" width="12.140625" customWidth="1"/>
    <col min="11" max="11" width="13.42578125" customWidth="1"/>
    <col min="12" max="16" width="11.42578125" hidden="1" customWidth="1"/>
    <col min="17" max="17" width="16" hidden="1" customWidth="1"/>
  </cols>
  <sheetData>
    <row r="1" spans="2:11" ht="27" thickTop="1" x14ac:dyDescent="0.4">
      <c r="B1" s="164"/>
      <c r="C1" s="191" t="s">
        <v>196</v>
      </c>
      <c r="D1" s="175" t="s">
        <v>197</v>
      </c>
      <c r="E1" s="241"/>
      <c r="F1" s="241"/>
      <c r="G1" s="241"/>
      <c r="H1" s="241"/>
      <c r="I1" s="241"/>
      <c r="J1" s="241"/>
      <c r="K1" s="242"/>
    </row>
    <row r="2" spans="2:11" x14ac:dyDescent="0.25">
      <c r="B2" s="173" t="s">
        <v>198</v>
      </c>
      <c r="C2" s="172">
        <f>Planopplysninger!C8</f>
        <v>45209</v>
      </c>
      <c r="D2" s="53">
        <f>C3-C2</f>
        <v>136</v>
      </c>
      <c r="E2" s="62"/>
      <c r="F2" s="62"/>
      <c r="G2" s="62"/>
      <c r="H2" s="62"/>
      <c r="I2" s="62"/>
      <c r="J2" s="62"/>
      <c r="K2" s="243"/>
    </row>
    <row r="3" spans="2:11" x14ac:dyDescent="0.25">
      <c r="B3" s="171" t="s">
        <v>198</v>
      </c>
      <c r="C3" s="174">
        <f>Planopplysninger!C10</f>
        <v>45345</v>
      </c>
      <c r="D3" s="62"/>
      <c r="E3" s="62"/>
      <c r="F3" s="62"/>
      <c r="G3" s="62"/>
      <c r="H3" s="62"/>
      <c r="I3" s="62"/>
      <c r="J3" s="62"/>
      <c r="K3" s="243"/>
    </row>
    <row r="4" spans="2:11" x14ac:dyDescent="0.25">
      <c r="B4" s="244"/>
      <c r="C4" s="62"/>
      <c r="D4" s="62"/>
      <c r="E4" s="246"/>
      <c r="F4" s="53" t="s">
        <v>135</v>
      </c>
      <c r="G4" s="247"/>
      <c r="H4" s="246"/>
      <c r="I4" s="152" t="s">
        <v>199</v>
      </c>
      <c r="J4" s="62"/>
      <c r="K4" s="243"/>
    </row>
    <row r="5" spans="2:11" x14ac:dyDescent="0.25">
      <c r="B5" s="244"/>
      <c r="C5" s="53" t="s">
        <v>200</v>
      </c>
      <c r="D5" s="53" t="s">
        <v>68</v>
      </c>
      <c r="E5" s="53" t="s">
        <v>69</v>
      </c>
      <c r="F5" s="53" t="s">
        <v>19</v>
      </c>
      <c r="G5" s="53" t="s">
        <v>71</v>
      </c>
      <c r="H5" s="53" t="s">
        <v>21</v>
      </c>
      <c r="I5" s="30" t="s">
        <v>201</v>
      </c>
      <c r="J5" s="53" t="s">
        <v>202</v>
      </c>
      <c r="K5" s="478" t="s">
        <v>203</v>
      </c>
    </row>
    <row r="6" spans="2:11" x14ac:dyDescent="0.25">
      <c r="B6" s="312">
        <v>1</v>
      </c>
      <c r="C6" s="150">
        <f>IF($B$6=1,'Aktuelle fôrslag'!$J$3,IF($B$6=2,'Aktuelle fôrslag'!$J$4,IF($B$6=3,'Aktuelle fôrslag'!$J$5,IF($B$6=4,'Aktuelle fôrslag'!$J$6,IF($B$6=5,'Aktuelle fôrslag'!$J$7,IF($B$6=6,'Aktuelle fôrslag'!$J$8))))))</f>
        <v>0</v>
      </c>
      <c r="D6" s="150">
        <f>IF($B$6=1,'Aktuelle fôrslag'!$K$3,IF($B$6=2,'Aktuelle fôrslag'!$K$4,IF($B$6=3,'Aktuelle fôrslag'!$K$5,IF($B$6=4,'Aktuelle fôrslag'!$K$6,IF($B$6=5,'Aktuelle fôrslag'!$K$7,IF($B$6=6,'Aktuelle fôrslag'!$K$8))))))</f>
        <v>0</v>
      </c>
      <c r="E6" s="151">
        <f>IF($B$6=1,'Aktuelle fôrslag'!$L$3,IF($B$6=2,'Aktuelle fôrslag'!$L$4,IF($B$6=3,'Aktuelle fôrslag'!$L$5,IF($B$6=4,'Aktuelle fôrslag'!$L$6,IF($B$6=5,'Aktuelle fôrslag'!$L$7,IF($B$6=6,'Aktuelle fôrslag'!$L$8))))))</f>
        <v>0</v>
      </c>
      <c r="F6" s="186">
        <f>IF($B$6=1,'Aktuelle fôrslag'!$M$3,IF($B$6=2,'Aktuelle fôrslag'!$M$4,IF($B$6=3,'Aktuelle fôrslag'!$M$5,IF($B$6=4,'Aktuelle fôrslag'!$M$6,IF($B$6=5,'Aktuelle fôrslag'!$M$7,IF($B$6=6,'Aktuelle fôrslag'!$M$8))))))</f>
        <v>0</v>
      </c>
      <c r="G6" s="151">
        <f>IF($B$6=1,'Aktuelle fôrslag'!$N$3,IF($B$6=2,'Aktuelle fôrslag'!$N$4,IF($B$6=3,'Aktuelle fôrslag'!$N$5,IF($B$6=4,'Aktuelle fôrslag'!$N$6,IF($B$6=5,'Aktuelle fôrslag'!$N$7,IF($B$6=6,'Aktuelle fôrslag'!$N$8))))))</f>
        <v>23.323499999999999</v>
      </c>
      <c r="H6" s="151">
        <f>IF($B$6=1,'Aktuelle fôrslag'!$O$3,IF($B$6=2,'Aktuelle fôrslag'!$O$4,IF($B$6=3,'Aktuelle fôrslag'!$O$5,IF($B$6=4,'Aktuelle fôrslag'!$O$6,IF($B$6=5,'Aktuelle fôrslag'!$O$7,IF($B$6=6,'Aktuelle fôrslag'!$O$8))))))</f>
        <v>-144.6</v>
      </c>
      <c r="I6" s="151">
        <f>IF($B$6=1,'Aktuelle fôrslag'!$Q$3,IF($B$6=2,'Aktuelle fôrslag'!$Q$4,IF($B$6=3,'Aktuelle fôrslag'!$Q$5,IF($B$6=4,'Aktuelle fôrslag'!$Q$6,IF($B$6=5,'Aktuelle fôrslag'!$Q$7,IF($B$6=6,'Aktuelle fôrslag'!$Q$8))))))</f>
        <v>0</v>
      </c>
      <c r="J6" s="316">
        <v>1</v>
      </c>
      <c r="K6" s="166">
        <f>(((14.4*F6)-2))*J6</f>
        <v>-2</v>
      </c>
    </row>
    <row r="7" spans="2:11" x14ac:dyDescent="0.25">
      <c r="B7" s="312">
        <v>6</v>
      </c>
      <c r="C7" s="226" t="str">
        <f>IF($B$7=1,'Aktuelle fôrslag'!$J$3,IF($B$7=2,'Aktuelle fôrslag'!$J$4,IF($B$7=3,'Aktuelle fôrslag'!$J$5,IF($B$7=4,'Aktuelle fôrslag'!$J$6,IF($B$7=5,'Aktuelle fôrslag'!$J$7,IF($B$7=6,'Aktuelle fôrslag'!$J$8))))))</f>
        <v>Ingen grovfôr nr 2</v>
      </c>
      <c r="D7" s="150">
        <f>IF($B$7=1,'Aktuelle fôrslag'!$K$3,IF($B$7=2,'Aktuelle fôrslag'!$K$4,IF($B$7=3,'Aktuelle fôrslag'!$K$5,IF($B$7=4,'Aktuelle fôrslag'!$K$6,IF($B$7=5,'Aktuelle fôrslag'!$K$7,IF($B$7=6,'Aktuelle fôrslag'!$K$8))))))</f>
        <v>0</v>
      </c>
      <c r="E7" s="151">
        <f>IF($B$7=1,'Aktuelle fôrslag'!$L$3,IF($B$7=2,'Aktuelle fôrslag'!$L$4,IF($B$7=3,'Aktuelle fôrslag'!$L$5,IF($B$7=4,'Aktuelle fôrslag'!$L$6,IF($B$7=5,'Aktuelle fôrslag'!$L$7,IF($B$7=6,'Aktuelle fôrslag'!$L$8))))))</f>
        <v>0</v>
      </c>
      <c r="F7" s="186">
        <f>IF($B$7=1,'Aktuelle fôrslag'!$M$3,IF($B$7=2,'Aktuelle fôrslag'!$M$4,IF($B$7=3,'Aktuelle fôrslag'!$M$5,IF($B$7=4,'Aktuelle fôrslag'!$M$6,IF($B$7=5,'Aktuelle fôrslag'!$M$7,IF($B$7=6,'Aktuelle fôrslag'!$M$8))))))</f>
        <v>0</v>
      </c>
      <c r="G7" s="151">
        <f>IF($B$7=1,'Aktuelle fôrslag'!$N$3,IF($B$7=2,'Aktuelle fôrslag'!$N$4,IF($B$7=3,'Aktuelle fôrslag'!$N$5,IF($B$7=4,'Aktuelle fôrslag'!$N$6,IF($B$7=5,'Aktuelle fôrslag'!$N$7,IF($B$7=6,'Aktuelle fôrslag'!$N$8))))))</f>
        <v>0</v>
      </c>
      <c r="H7" s="151">
        <f>IF($B$7=1,'Aktuelle fôrslag'!$O$3,IF($B$7=2,'Aktuelle fôrslag'!$O$4,IF($B$7=3,'Aktuelle fôrslag'!$O$5,IF($B$7=4,'Aktuelle fôrslag'!$O$6,IF($B$7=5,'Aktuelle fôrslag'!$O$7,IF($B$7=6,'Aktuelle fôrslag'!$O$8))))))</f>
        <v>0</v>
      </c>
      <c r="I7" s="151">
        <f>IF($B$7=1,'Aktuelle fôrslag'!$Q$3,IF($B$7=2,'Aktuelle fôrslag'!$Q$4,IF($B$7=3,'Aktuelle fôrslag'!$Q$5,IF($B$7=4,'Aktuelle fôrslag'!$Q$6,IF($B$7=5,'Aktuelle fôrslag'!$Q$7,IF($B$7=6,'Aktuelle fôrslag'!$Q$8))))))</f>
        <v>1</v>
      </c>
      <c r="J7" s="62"/>
      <c r="K7" s="243"/>
    </row>
    <row r="8" spans="2:11" x14ac:dyDescent="0.25">
      <c r="B8" s="248"/>
      <c r="C8" s="153" t="s">
        <v>204</v>
      </c>
      <c r="D8" s="27"/>
      <c r="E8" s="313">
        <v>1</v>
      </c>
      <c r="F8" s="62"/>
      <c r="G8" s="62"/>
      <c r="H8" s="62"/>
      <c r="I8" s="62"/>
      <c r="J8" s="62"/>
      <c r="K8" s="243"/>
    </row>
    <row r="9" spans="2:11" x14ac:dyDescent="0.25">
      <c r="B9" s="248"/>
      <c r="C9" s="249"/>
      <c r="D9" s="62"/>
      <c r="E9" s="62"/>
      <c r="F9" s="62"/>
      <c r="G9" s="62"/>
      <c r="H9" s="62"/>
      <c r="I9" s="62"/>
      <c r="J9" s="62"/>
      <c r="K9" s="243"/>
    </row>
    <row r="10" spans="2:11" x14ac:dyDescent="0.25">
      <c r="B10" s="248"/>
      <c r="C10" s="53" t="s">
        <v>147</v>
      </c>
      <c r="D10" s="149" t="s">
        <v>68</v>
      </c>
      <c r="E10" s="149" t="s">
        <v>148</v>
      </c>
      <c r="F10" s="149" t="s">
        <v>70</v>
      </c>
      <c r="G10" s="149" t="s">
        <v>71</v>
      </c>
      <c r="H10" s="149" t="s">
        <v>21</v>
      </c>
      <c r="I10" s="62"/>
      <c r="J10" s="62"/>
      <c r="K10" s="243"/>
    </row>
    <row r="11" spans="2:11" x14ac:dyDescent="0.25">
      <c r="B11" s="311">
        <v>5</v>
      </c>
      <c r="C11" s="145" t="str">
        <f>IF($B$11=1,'Aktuelle fôrslag'!$B$26,IF($B$11=2,'Aktuelle fôrslag'!$B$27,IF($B$11=3,'Aktuelle fôrslag'!$B$28,IF($B$11=4,'Aktuelle fôrslag'!$B$29,IF($B$11=5,'Aktuelle fôrslag'!$B$30,IF($B$11=6,'Aktuelle fôrslag'!$B$31,IF($B$11=7,'Aktuelle fôrslag'!$B$32,IF($B$11=8,'Aktuelle fôrslag'!$B$33,IF($B$11=9,'Aktuelle fôrslag'!$B$34,IF($B$11=10,'Aktuelle fôrslag'!$B$35,IF($B$11=11,'Aktuelle fôrslag'!$B$36,IF($B$11=12,'Aktuelle fôrslag'!$B$37,IF($B$11=13,'Aktuelle fôrslag'!$B$38,IF($B$11=14,'Aktuelle fôrslag'!$B$39,IF($B$11=15,'Aktuelle fôrslag'!$B$40,IF($B$11=16,'Aktuelle fôrslag'!$B$41,IF($B$11=17,'Aktuelle fôrslag'!$B$42,IF($B$11=18,'Aktuelle fôrslag'!$B$43,IF($B$11=19,'Aktuelle fôrslag'!$B$44,IF($B$11=20,'Aktuelle fôrslag'!$B$45,IF($B$11=21,'Aktuelle fôrslag'!$B$46,IF($B$11=22,'Aktuelle fôrslag'!$B$47,'Aktuelle fôrslag'!$B$48))))))))))))))))))))))</f>
        <v>Formel Sau Intensiv FK Agri</v>
      </c>
      <c r="D11" s="146">
        <f>IF($B$11=1,'Aktuelle fôrslag'!$C$26,IF($B$11=2,'Aktuelle fôrslag'!$C$27,IF($B$11=3,'Aktuelle fôrslag'!$C$28,IF($B$11=4,'Aktuelle fôrslag'!$C$29,IF($B$11=5,'Aktuelle fôrslag'!$C$30,IF($B$11=6,'Aktuelle fôrslag'!$C$31,IF($B$11=7,'Aktuelle fôrslag'!$C$32,IF($B$11=8,'Aktuelle fôrslag'!$C$33,IF($B$11=9,'Aktuelle fôrslag'!$C$34,IF($B$11=10,'Aktuelle fôrslag'!$C$35,IF($B$11=11,'Aktuelle fôrslag'!$C$36,IF($B$11=12,'Aktuelle fôrslag'!$C$37,IF($B$11=13,'Aktuelle fôrslag'!$C$38,IF($B$11=14,'Aktuelle fôrslag'!$C$39,IF($B$11=15,'Aktuelle fôrslag'!$C$40,IF($B$11=16,'Aktuelle fôrslag'!$C$41,IF($B$11=17,'Aktuelle fôrslag'!$C$42,IF($B$11=18,'Aktuelle fôrslag'!$C$43,IF($B$11=19,'Aktuelle fôrslag'!$C$44,IF($B$11=20,'Aktuelle fôrslag'!$C$45,IF($B$11=21,'Aktuelle fôrslag'!$C$46,IF($B$11=22,'Aktuelle fôrslag'!$C$47,'Aktuelle fôrslag'!$C$48))))))))))))))))))))))</f>
        <v>0.88</v>
      </c>
      <c r="E11" s="147">
        <f>IF($B$11=1,'Aktuelle fôrslag'!$D$26,IF($B$11=2,'Aktuelle fôrslag'!$D$27,IF($B$11=3,'Aktuelle fôrslag'!$D$28,IF($B$11=4,'Aktuelle fôrslag'!$D$29,IF($B$11=5,'Aktuelle fôrslag'!$D$30,IF($B$11=6,'Aktuelle fôrslag'!$D$31,IF($B$11=7,'Aktuelle fôrslag'!$D$32,IF($B$11=8,'Aktuelle fôrslag'!$D$33,IF($B$11=9,'Aktuelle fôrslag'!$D$34,IF($B$11=10,'Aktuelle fôrslag'!$D$35,IF($B$11=11,'Aktuelle fôrslag'!$D$36,IF($B$11=12,'Aktuelle fôrslag'!$D$37,IF($B$11=13,'Aktuelle fôrslag'!$D$38,IF($B$11=14,'Aktuelle fôrslag'!$D$39,IF($B$11=15,'Aktuelle fôrslag'!$D$40,IF($B$11=16,'Aktuelle fôrslag'!$D$41,IF($B$11=17,'Aktuelle fôrslag'!$D$42,IF($B$11=18,'Aktuelle fôrslag'!$D$43,IF($B$11=19,'Aktuelle fôrslag'!$D$44,IF($B$11=20,'Aktuelle fôrslag'!$D$45,IF($B$11=21,'Aktuelle fôrslag'!$D$46,IF($B$11=22,'Aktuelle fôrslag'!$D$47,'Aktuelle fôrslag'!$D$48))))))))))))))))))))))</f>
        <v>340</v>
      </c>
      <c r="F11" s="148">
        <f>IF($B$11=1,'Aktuelle fôrslag'!$E$26,IF($B$11=2,'Aktuelle fôrslag'!$E$27,IF($B$11=3,'Aktuelle fôrslag'!$E$28,IF($B$11=4,'Aktuelle fôrslag'!$E$29,IF($B$11=5,'Aktuelle fôrslag'!$E$30,IF($B$11=6,'Aktuelle fôrslag'!$E$31,IF($B$11=7,'Aktuelle fôrslag'!$E$32,IF($B$11=8,'Aktuelle fôrslag'!$E$33,IF($B$11=9,'Aktuelle fôrslag'!$E$34,IF($B$11=10,'Aktuelle fôrslag'!$E$35,IF($B$11=11,'Aktuelle fôrslag'!$E$36,IF($B$11=12,'Aktuelle fôrslag'!$E$37,IF($B$11=13,'Aktuelle fôrslag'!$E$38,IF($B$11=14,'Aktuelle fôrslag'!$E$39,IF($B$11=15,'Aktuelle fôrslag'!$E$40,IF($B$11=16,'Aktuelle fôrslag'!$E$41,IF($B$11=17,'Aktuelle fôrslag'!$E$42,IF($B$11=18,'Aktuelle fôrslag'!$E$43,IF($B$11=19,'Aktuelle fôrslag'!$E$44,IF($B$11=20,'Aktuelle fôrslag'!$E$45,IF($B$11=21,'Aktuelle fôrslag'!$E$46,IF($B$11=22,'Aktuelle fôrslag'!$E$47,'Aktuelle fôrslag'!$E$48))))))))))))))))))))))</f>
        <v>0.90909090909090906</v>
      </c>
      <c r="G11" s="147">
        <f>IF($B$11=1,'Aktuelle fôrslag'!$F$26,IF($B$11=2,'Aktuelle fôrslag'!$F$27,IF($B$11=3,'Aktuelle fôrslag'!$F$28,IF($B$11=4,'Aktuelle fôrslag'!$F$29,IF($B$11=5,'Aktuelle fôrslag'!$F$30,IF($B$11=6,'Aktuelle fôrslag'!$F$31,IF($B$11=7,'Aktuelle fôrslag'!$F$32,IF($B$11=8,'Aktuelle fôrslag'!$F$33,IF($B$11=9,'Aktuelle fôrslag'!$F$34,IF($B$11=10,'Aktuelle fôrslag'!$F$35,IF($B$11=11,'Aktuelle fôrslag'!$F$36,IF($B$11=12,'Aktuelle fôrslag'!$F$37,IF($B$11=13,'Aktuelle fôrslag'!$F$38,IF($B$11=14,'Aktuelle fôrslag'!$F$39,IF($B$11=15,'Aktuelle fôrslag'!$F$40,IF($B$11=16,'Aktuelle fôrslag'!$F$41,IF($B$11=17,'Aktuelle fôrslag'!$F$42,IF($B$11=18,'Aktuelle fôrslag'!$F$43,IF($B$11=19,'Aktuelle fôrslag'!$F$44,IF($B$11=20,'Aktuelle fôrslag'!$F$45,IF($B$11=21,'Aktuelle fôrslag'!$F$46,IF($B$11=22,'Aktuelle fôrslag'!$F$47,'Aktuelle fôrslag'!$F$48))))))))))))))))))))))</f>
        <v>94.545454545454547</v>
      </c>
      <c r="H11" s="147">
        <f>IF($B$11=1,'Aktuelle fôrslag'!$G$26,IF($B$11=2,'Aktuelle fôrslag'!$G$27,IF($B$11=3,'Aktuelle fôrslag'!$G$28,IF($B$11=4,'Aktuelle fôrslag'!$G$29,IF($B$11=5,'Aktuelle fôrslag'!$G$30,IF($B$11=6,'Aktuelle fôrslag'!$G$31,IF($B$11=7,'Aktuelle fôrslag'!$G$32,IF($B$11=8,'Aktuelle fôrslag'!$G$33,IF($B$11=9,'Aktuelle fôrslag'!$G$34,IF($B$11=10,'Aktuelle fôrslag'!$G$35,IF($B$11=11,'Aktuelle fôrslag'!$G$36,IF($B$11=12,'Aktuelle fôrslag'!$G$37,IF($B$11=13,'Aktuelle fôrslag'!$G$38,IF($B$11=14,'Aktuelle fôrslag'!$G$39,IF($B$11=15,'Aktuelle fôrslag'!$G$40,IF($B$11=16,'Aktuelle fôrslag'!$G$41,IF($B$11=17,'Aktuelle fôrslag'!$G$42,IF($B$11=18,'Aktuelle fôrslag'!$G$43,IF($B$11=19,'Aktuelle fôrslag'!$G$44,IF($B$11=20,'Aktuelle fôrslag'!$G$45,IF($B$11=21,'Aktuelle fôrslag'!$G$46,IF($B$11=22,'Aktuelle fôrslag'!$G$47,'Aktuelle fôrslag'!$G$48))))))))))))))))))))))</f>
        <v>0</v>
      </c>
      <c r="I11" s="62"/>
      <c r="J11" s="62"/>
      <c r="K11" s="243"/>
    </row>
    <row r="12" spans="2:11" x14ac:dyDescent="0.25">
      <c r="B12" s="244"/>
      <c r="C12" s="62"/>
      <c r="D12" s="62"/>
      <c r="E12" s="62"/>
      <c r="F12" s="62"/>
      <c r="G12" s="62"/>
      <c r="H12" s="62"/>
      <c r="I12" s="62"/>
      <c r="J12" s="62"/>
      <c r="K12" s="243"/>
    </row>
    <row r="13" spans="2:11" x14ac:dyDescent="0.25">
      <c r="B13" s="244"/>
      <c r="C13" s="154" t="str">
        <f>Planopplysninger!B16</f>
        <v>Søye lavdrektig dårleg hold</v>
      </c>
      <c r="D13" s="155" t="s">
        <v>205</v>
      </c>
      <c r="E13" s="155" t="s">
        <v>206</v>
      </c>
      <c r="F13" s="155" t="s">
        <v>70</v>
      </c>
      <c r="G13" s="155" t="s">
        <v>20</v>
      </c>
      <c r="H13" s="155" t="s">
        <v>21</v>
      </c>
      <c r="I13" s="155" t="s">
        <v>69</v>
      </c>
      <c r="J13" s="251"/>
      <c r="K13" s="243"/>
    </row>
    <row r="14" spans="2:11" x14ac:dyDescent="0.25">
      <c r="B14" s="244"/>
      <c r="C14" s="53">
        <f>C6</f>
        <v>0</v>
      </c>
      <c r="D14" s="156" t="e">
        <f>((Planopplysninger!D17*Planlegging!$K$6)/Planlegging!$E$6)-(D15*$E$8)</f>
        <v>#DIV/0!</v>
      </c>
      <c r="E14" s="157" t="e">
        <f>D14/D6</f>
        <v>#DIV/0!</v>
      </c>
      <c r="F14" s="156" t="e">
        <f>D14*F6</f>
        <v>#DIV/0!</v>
      </c>
      <c r="G14" s="157" t="e">
        <f>D14*G6</f>
        <v>#DIV/0!</v>
      </c>
      <c r="H14" s="157" t="e">
        <f>H6*D14</f>
        <v>#DIV/0!</v>
      </c>
      <c r="I14" s="158" t="e">
        <f>D14*E6</f>
        <v>#DIV/0!</v>
      </c>
      <c r="J14" s="252"/>
      <c r="K14" s="243"/>
    </row>
    <row r="15" spans="2:11" x14ac:dyDescent="0.25">
      <c r="B15" s="244"/>
      <c r="C15" s="53" t="str">
        <f>C7</f>
        <v>Ingen grovfôr nr 2</v>
      </c>
      <c r="D15" s="156">
        <f>E15*D7</f>
        <v>0</v>
      </c>
      <c r="E15" s="312">
        <v>0</v>
      </c>
      <c r="F15" s="156">
        <f>D15*F7</f>
        <v>0</v>
      </c>
      <c r="G15" s="157">
        <f>D15*G7</f>
        <v>0</v>
      </c>
      <c r="H15" s="158">
        <f>D15*H7</f>
        <v>0</v>
      </c>
      <c r="I15" s="158">
        <f>D15*E7</f>
        <v>0</v>
      </c>
      <c r="J15" s="250"/>
      <c r="K15" s="243"/>
    </row>
    <row r="16" spans="2:11" x14ac:dyDescent="0.25">
      <c r="B16" s="244"/>
      <c r="C16" s="53" t="s">
        <v>207</v>
      </c>
      <c r="D16" s="156" t="e">
        <f t="shared" ref="D16:I16" si="0">D15+D14</f>
        <v>#DIV/0!</v>
      </c>
      <c r="E16" s="157" t="e">
        <f t="shared" si="0"/>
        <v>#DIV/0!</v>
      </c>
      <c r="F16" s="156" t="e">
        <f t="shared" si="0"/>
        <v>#DIV/0!</v>
      </c>
      <c r="G16" s="156" t="e">
        <f t="shared" si="0"/>
        <v>#DIV/0!</v>
      </c>
      <c r="H16" s="156" t="e">
        <f t="shared" si="0"/>
        <v>#DIV/0!</v>
      </c>
      <c r="I16" s="158" t="e">
        <f t="shared" si="0"/>
        <v>#DIV/0!</v>
      </c>
      <c r="J16" s="250"/>
      <c r="K16" s="243"/>
    </row>
    <row r="17" spans="2:11" x14ac:dyDescent="0.25">
      <c r="B17" s="244"/>
      <c r="C17" s="62"/>
      <c r="D17" s="210"/>
      <c r="E17" s="210"/>
      <c r="F17" s="210"/>
      <c r="G17" s="210"/>
      <c r="H17" s="210"/>
      <c r="I17" s="86"/>
      <c r="J17" s="250"/>
      <c r="K17" s="243"/>
    </row>
    <row r="18" spans="2:11" x14ac:dyDescent="0.25">
      <c r="B18" s="244"/>
      <c r="C18" s="155" t="s">
        <v>208</v>
      </c>
      <c r="D18" s="156"/>
      <c r="E18" s="159"/>
      <c r="F18" s="156" t="s">
        <v>70</v>
      </c>
      <c r="G18" s="157" t="s">
        <v>150</v>
      </c>
      <c r="H18" s="53" t="s">
        <v>151</v>
      </c>
      <c r="I18" s="158" t="s">
        <v>209</v>
      </c>
      <c r="J18" s="62"/>
      <c r="K18" s="243"/>
    </row>
    <row r="19" spans="2:11" x14ac:dyDescent="0.25">
      <c r="B19" s="244"/>
      <c r="C19" s="53" t="s">
        <v>210</v>
      </c>
      <c r="D19" s="53"/>
      <c r="E19" s="53"/>
      <c r="F19" s="286" t="e">
        <f>Planopplysninger!E19-F14-F15</f>
        <v>#DIV/0!</v>
      </c>
      <c r="G19" s="287" t="e">
        <f>IF(F19&gt;0,((Planopplysninger!F19-G16)/F19),"")</f>
        <v>#DIV/0!</v>
      </c>
      <c r="H19" s="287" t="e">
        <f>IF(F19&gt;0,((Planopplysninger!G17-H16)/F19),"")</f>
        <v>#DIV/0!</v>
      </c>
      <c r="I19" s="227"/>
      <c r="J19" s="62"/>
      <c r="K19" s="243"/>
    </row>
    <row r="20" spans="2:11" x14ac:dyDescent="0.25">
      <c r="B20" s="244"/>
      <c r="C20" s="160" t="str">
        <f>C11</f>
        <v>Formel Sau Intensiv FK Agri</v>
      </c>
      <c r="D20" s="53" t="s">
        <v>211</v>
      </c>
      <c r="E20" s="53"/>
      <c r="F20" s="157" t="e">
        <f>IF(F19&gt;0,((F19/$F$11))/$D$11,"0")</f>
        <v>#DIV/0!</v>
      </c>
      <c r="G20" s="53"/>
      <c r="H20" s="53"/>
      <c r="I20" s="288" t="e">
        <f>(((F20*$D$11)*$E$11)+I14+I15)/(D14+D15+(F20*$D$11))/1000</f>
        <v>#DIV/0!</v>
      </c>
      <c r="J20" s="62"/>
      <c r="K20" s="243"/>
    </row>
    <row r="21" spans="2:11" x14ac:dyDescent="0.25">
      <c r="B21" s="244"/>
      <c r="C21" s="62"/>
      <c r="D21" s="62"/>
      <c r="E21" s="62"/>
      <c r="F21" s="62"/>
      <c r="G21" s="62"/>
      <c r="H21" s="62"/>
      <c r="I21" s="62"/>
      <c r="J21" s="62"/>
      <c r="K21" s="243"/>
    </row>
    <row r="22" spans="2:11" x14ac:dyDescent="0.25">
      <c r="B22" s="244"/>
      <c r="C22" s="154" t="str">
        <f>Planopplysninger!B22</f>
        <v>Søye lavdrektig godt hold</v>
      </c>
      <c r="D22" s="155" t="s">
        <v>205</v>
      </c>
      <c r="E22" s="155" t="s">
        <v>206</v>
      </c>
      <c r="F22" s="155" t="s">
        <v>70</v>
      </c>
      <c r="G22" s="155" t="s">
        <v>20</v>
      </c>
      <c r="H22" s="155" t="s">
        <v>21</v>
      </c>
      <c r="I22" s="155" t="s">
        <v>69</v>
      </c>
      <c r="J22" s="62"/>
      <c r="K22" s="243"/>
    </row>
    <row r="23" spans="2:11" x14ac:dyDescent="0.25">
      <c r="B23" s="244"/>
      <c r="C23" s="160">
        <f>C6</f>
        <v>0</v>
      </c>
      <c r="D23" s="156" t="e">
        <f>((Planopplysninger!D17*Planlegging!K6)/E6)-(D24*E8)</f>
        <v>#DIV/0!</v>
      </c>
      <c r="E23" s="157" t="e">
        <f>D23/D6</f>
        <v>#DIV/0!</v>
      </c>
      <c r="F23" s="156" t="e">
        <f>D23*F6</f>
        <v>#DIV/0!</v>
      </c>
      <c r="G23" s="157" t="e">
        <f>G6*D23</f>
        <v>#DIV/0!</v>
      </c>
      <c r="H23" s="157" t="e">
        <f>D23*H6</f>
        <v>#DIV/0!</v>
      </c>
      <c r="I23" s="158" t="e">
        <f>D23*E6</f>
        <v>#DIV/0!</v>
      </c>
      <c r="J23" s="62"/>
      <c r="K23" s="243"/>
    </row>
    <row r="24" spans="2:11" x14ac:dyDescent="0.25">
      <c r="B24" s="244"/>
      <c r="C24" s="160" t="str">
        <f>C7</f>
        <v>Ingen grovfôr nr 2</v>
      </c>
      <c r="D24" s="156">
        <f>E24*D7</f>
        <v>0</v>
      </c>
      <c r="E24" s="312">
        <v>0</v>
      </c>
      <c r="F24" s="157">
        <f>D24*F7</f>
        <v>0</v>
      </c>
      <c r="G24" s="157">
        <f>D24*G7</f>
        <v>0</v>
      </c>
      <c r="H24" s="157">
        <f>D24*H7</f>
        <v>0</v>
      </c>
      <c r="I24" s="158">
        <f>D24*E7</f>
        <v>0</v>
      </c>
      <c r="J24" s="62"/>
      <c r="K24" s="243"/>
    </row>
    <row r="25" spans="2:11" x14ac:dyDescent="0.25">
      <c r="B25" s="244"/>
      <c r="C25" s="160" t="s">
        <v>207</v>
      </c>
      <c r="D25" s="156" t="e">
        <f>D23+D24</f>
        <v>#DIV/0!</v>
      </c>
      <c r="E25" s="157" t="e">
        <f>E23+E24</f>
        <v>#DIV/0!</v>
      </c>
      <c r="F25" s="156" t="e">
        <f>F23+F24</f>
        <v>#DIV/0!</v>
      </c>
      <c r="G25" s="157" t="e">
        <f>G23+G24</f>
        <v>#DIV/0!</v>
      </c>
      <c r="H25" s="157" t="e">
        <f>H23+H24</f>
        <v>#DIV/0!</v>
      </c>
      <c r="I25" s="158" t="e">
        <f>I24+I23</f>
        <v>#DIV/0!</v>
      </c>
      <c r="J25" s="62"/>
      <c r="K25" s="243"/>
    </row>
    <row r="26" spans="2:11" x14ac:dyDescent="0.25">
      <c r="B26" s="244"/>
      <c r="C26" s="256"/>
      <c r="D26" s="210"/>
      <c r="E26" s="62"/>
      <c r="F26" s="64"/>
      <c r="G26" s="64"/>
      <c r="H26" s="64"/>
      <c r="I26" s="86"/>
      <c r="J26" s="62"/>
      <c r="K26" s="243"/>
    </row>
    <row r="27" spans="2:11" x14ac:dyDescent="0.25">
      <c r="B27" s="244"/>
      <c r="C27" s="155" t="s">
        <v>208</v>
      </c>
      <c r="D27" s="53"/>
      <c r="E27" s="53"/>
      <c r="F27" s="156" t="s">
        <v>70</v>
      </c>
      <c r="G27" s="157" t="s">
        <v>150</v>
      </c>
      <c r="H27" s="53" t="s">
        <v>151</v>
      </c>
      <c r="I27" s="158" t="s">
        <v>209</v>
      </c>
      <c r="J27" s="62"/>
      <c r="K27" s="243"/>
    </row>
    <row r="28" spans="2:11" x14ac:dyDescent="0.25">
      <c r="B28" s="244"/>
      <c r="C28" s="53" t="s">
        <v>210</v>
      </c>
      <c r="D28" s="53"/>
      <c r="E28" s="53"/>
      <c r="F28" s="286" t="e">
        <f>Planopplysninger!E23-F25</f>
        <v>#DIV/0!</v>
      </c>
      <c r="G28" s="287" t="e">
        <f>IF(F28&gt;0,((Planopplysninger!F23-G25)/F28),"")</f>
        <v>#DIV/0!</v>
      </c>
      <c r="H28" s="287" t="e">
        <f>IF(F28&gt;0,((Planopplysninger!G23-H25)/F28),"")</f>
        <v>#DIV/0!</v>
      </c>
      <c r="I28" s="293"/>
      <c r="J28" s="62"/>
      <c r="K28" s="243"/>
    </row>
    <row r="29" spans="2:11" x14ac:dyDescent="0.25">
      <c r="B29" s="244"/>
      <c r="C29" s="160" t="str">
        <f>C11</f>
        <v>Formel Sau Intensiv FK Agri</v>
      </c>
      <c r="D29" s="53" t="s">
        <v>211</v>
      </c>
      <c r="E29" s="53"/>
      <c r="F29" s="156" t="e">
        <f>IF(F28&gt;0,((F28/$F$11))/$D$11,"0")</f>
        <v>#DIV/0!</v>
      </c>
      <c r="G29" s="53"/>
      <c r="H29" s="53"/>
      <c r="I29" s="315" t="e">
        <f>(((F29*$D$11)*$E$11)+I23+I24)/(D23+D24+(F29*$D$11))/1000</f>
        <v>#DIV/0!</v>
      </c>
      <c r="J29" s="62"/>
      <c r="K29" s="243"/>
    </row>
    <row r="30" spans="2:11" x14ac:dyDescent="0.25">
      <c r="B30" s="244"/>
      <c r="C30" s="62"/>
      <c r="D30" s="62"/>
      <c r="E30" s="62"/>
      <c r="F30" s="62"/>
      <c r="G30" s="62"/>
      <c r="H30" s="62"/>
      <c r="I30" s="62"/>
      <c r="J30" s="62"/>
      <c r="K30" s="243"/>
    </row>
    <row r="31" spans="2:11" x14ac:dyDescent="0.25">
      <c r="B31" s="244"/>
      <c r="C31" s="155" t="s">
        <v>212</v>
      </c>
      <c r="D31" s="155" t="s">
        <v>205</v>
      </c>
      <c r="E31" s="155" t="s">
        <v>206</v>
      </c>
      <c r="F31" s="155" t="s">
        <v>70</v>
      </c>
      <c r="G31" s="155" t="s">
        <v>20</v>
      </c>
      <c r="H31" s="155" t="s">
        <v>21</v>
      </c>
      <c r="I31" s="155" t="s">
        <v>69</v>
      </c>
      <c r="J31" s="62"/>
      <c r="K31" s="243"/>
    </row>
    <row r="32" spans="2:11" x14ac:dyDescent="0.25">
      <c r="B32" s="244"/>
      <c r="C32" s="160">
        <f>C6</f>
        <v>0</v>
      </c>
      <c r="D32" s="156" t="e">
        <f>((Planopplysninger!D27*Planlegging!K6)/E6)-(D33*E8)</f>
        <v>#DIV/0!</v>
      </c>
      <c r="E32" s="157" t="e">
        <f>D32/D6</f>
        <v>#DIV/0!</v>
      </c>
      <c r="F32" s="156" t="e">
        <f>D32*F6</f>
        <v>#DIV/0!</v>
      </c>
      <c r="G32" s="158" t="e">
        <f>D32*G6</f>
        <v>#DIV/0!</v>
      </c>
      <c r="H32" s="157" t="e">
        <f>D32*H6</f>
        <v>#DIV/0!</v>
      </c>
      <c r="I32" s="158" t="e">
        <f>D32*E6</f>
        <v>#DIV/0!</v>
      </c>
      <c r="J32" s="62"/>
      <c r="K32" s="243"/>
    </row>
    <row r="33" spans="2:11" x14ac:dyDescent="0.25">
      <c r="B33" s="244"/>
      <c r="C33" s="160" t="str">
        <f>C7</f>
        <v>Ingen grovfôr nr 2</v>
      </c>
      <c r="D33" s="156">
        <f>E33*D7</f>
        <v>0</v>
      </c>
      <c r="E33" s="312">
        <v>0</v>
      </c>
      <c r="F33" s="156">
        <f>D33*F7</f>
        <v>0</v>
      </c>
      <c r="G33" s="158">
        <f>D33*G7</f>
        <v>0</v>
      </c>
      <c r="H33" s="157">
        <f>H7*D33</f>
        <v>0</v>
      </c>
      <c r="I33" s="158">
        <f>D33*E7</f>
        <v>0</v>
      </c>
      <c r="J33" s="62"/>
      <c r="K33" s="243"/>
    </row>
    <row r="34" spans="2:11" x14ac:dyDescent="0.25">
      <c r="B34" s="244"/>
      <c r="C34" s="160" t="s">
        <v>207</v>
      </c>
      <c r="D34" s="156" t="e">
        <f>D32+D33</f>
        <v>#DIV/0!</v>
      </c>
      <c r="E34" s="157" t="e">
        <f>E32+E33</f>
        <v>#DIV/0!</v>
      </c>
      <c r="F34" s="156" t="e">
        <f>F32+F33</f>
        <v>#DIV/0!</v>
      </c>
      <c r="G34" s="156" t="e">
        <f>G32+G33</f>
        <v>#DIV/0!</v>
      </c>
      <c r="H34" s="156" t="e">
        <f>H32+H33</f>
        <v>#DIV/0!</v>
      </c>
      <c r="I34" s="158" t="e">
        <f>I33+I32</f>
        <v>#DIV/0!</v>
      </c>
      <c r="J34" s="62"/>
      <c r="K34" s="243"/>
    </row>
    <row r="35" spans="2:11" x14ac:dyDescent="0.25">
      <c r="B35" s="244"/>
      <c r="C35" s="62"/>
      <c r="D35" s="62"/>
      <c r="E35" s="62"/>
      <c r="F35" s="62"/>
      <c r="G35" s="62"/>
      <c r="H35" s="62"/>
      <c r="I35" s="62"/>
      <c r="J35" s="62"/>
      <c r="K35" s="243"/>
    </row>
    <row r="36" spans="2:11" x14ac:dyDescent="0.25">
      <c r="B36" s="244"/>
      <c r="C36" s="155" t="s">
        <v>208</v>
      </c>
      <c r="D36" s="53"/>
      <c r="E36" s="53"/>
      <c r="F36" s="161" t="s">
        <v>70</v>
      </c>
      <c r="G36" s="162" t="s">
        <v>150</v>
      </c>
      <c r="H36" s="155" t="s">
        <v>151</v>
      </c>
      <c r="I36" s="163" t="s">
        <v>209</v>
      </c>
      <c r="J36" s="62"/>
      <c r="K36" s="243"/>
    </row>
    <row r="37" spans="2:11" x14ac:dyDescent="0.25">
      <c r="B37" s="244"/>
      <c r="C37" s="53" t="s">
        <v>210</v>
      </c>
      <c r="D37" s="53"/>
      <c r="E37" s="53"/>
      <c r="F37" s="314" t="e">
        <f>Planopplysninger!E29-F34</f>
        <v>#DIV/0!</v>
      </c>
      <c r="G37" s="314" t="e">
        <f>IF(F37&gt;0,(Planopplysninger!F29-G34)/F37,"")</f>
        <v>#DIV/0!</v>
      </c>
      <c r="H37" s="314" t="e">
        <f>IF(F37&gt;0,(Planopplysninger!G23-H34)/F37, "")</f>
        <v>#DIV/0!</v>
      </c>
      <c r="I37" s="53"/>
      <c r="J37" s="62"/>
      <c r="K37" s="243"/>
    </row>
    <row r="38" spans="2:11" x14ac:dyDescent="0.25">
      <c r="B38" s="244"/>
      <c r="C38" s="160" t="str">
        <f>C11</f>
        <v>Formel Sau Intensiv FK Agri</v>
      </c>
      <c r="D38" s="53" t="s">
        <v>211</v>
      </c>
      <c r="E38" s="53"/>
      <c r="F38" s="157" t="e">
        <f>IF(F37&gt;0,((F37/$F$11))/$D$11,"0")</f>
        <v>#DIV/0!</v>
      </c>
      <c r="G38" s="53"/>
      <c r="H38" s="53"/>
      <c r="I38" s="315" t="e">
        <f>(((F38*$D$11)*$E$11)+I32+I33)/(D32+D33+(F38*$D$11))/1000</f>
        <v>#DIV/0!</v>
      </c>
      <c r="J38" s="62"/>
      <c r="K38" s="243"/>
    </row>
    <row r="39" spans="2:11" ht="15.75" thickBot="1" x14ac:dyDescent="0.3">
      <c r="B39" s="253"/>
      <c r="C39" s="254"/>
      <c r="D39" s="254"/>
      <c r="E39" s="254"/>
      <c r="F39" s="254"/>
      <c r="G39" s="254"/>
      <c r="H39" s="254"/>
      <c r="I39" s="254"/>
      <c r="J39" s="254"/>
      <c r="K39" s="255"/>
    </row>
    <row r="40" spans="2:11" ht="16.5" thickTop="1" thickBot="1" x14ac:dyDescent="0.3"/>
    <row r="41" spans="2:11" ht="27" thickTop="1" x14ac:dyDescent="0.4">
      <c r="B41" s="164"/>
      <c r="C41" s="192" t="s">
        <v>213</v>
      </c>
      <c r="D41" s="193" t="s">
        <v>197</v>
      </c>
      <c r="E41" s="241"/>
      <c r="F41" s="241"/>
      <c r="G41" s="241"/>
      <c r="H41" s="241"/>
      <c r="I41" s="241"/>
      <c r="J41" s="241"/>
      <c r="K41" s="242"/>
    </row>
    <row r="42" spans="2:11" x14ac:dyDescent="0.25">
      <c r="B42" s="171" t="s">
        <v>198</v>
      </c>
      <c r="C42" s="172">
        <f>Planopplysninger!C10</f>
        <v>45345</v>
      </c>
      <c r="D42" s="53">
        <f>C43-C42</f>
        <v>56</v>
      </c>
      <c r="E42" s="257"/>
      <c r="F42" s="258"/>
      <c r="G42" s="257"/>
      <c r="H42" s="257"/>
      <c r="I42" s="62"/>
      <c r="J42" s="62"/>
      <c r="K42" s="243"/>
    </row>
    <row r="43" spans="2:11" x14ac:dyDescent="0.25">
      <c r="B43" s="171" t="s">
        <v>198</v>
      </c>
      <c r="C43" s="172">
        <f>Planopplysninger!C11</f>
        <v>45401</v>
      </c>
      <c r="D43" s="62"/>
      <c r="E43" s="62"/>
      <c r="F43" s="62"/>
      <c r="G43" s="62"/>
      <c r="H43" s="62"/>
      <c r="I43" s="62"/>
      <c r="J43" s="62"/>
      <c r="K43" s="243"/>
    </row>
    <row r="44" spans="2:11" x14ac:dyDescent="0.25">
      <c r="B44" s="244"/>
      <c r="C44" s="62"/>
      <c r="D44" s="62"/>
      <c r="E44" s="62"/>
      <c r="F44" s="62"/>
      <c r="G44" s="62"/>
      <c r="H44" s="62"/>
      <c r="I44" s="62"/>
      <c r="J44" s="62"/>
      <c r="K44" s="243" t="s">
        <v>313</v>
      </c>
    </row>
    <row r="45" spans="2:11" x14ac:dyDescent="0.25">
      <c r="B45" s="244"/>
      <c r="C45" s="62"/>
      <c r="D45" s="62"/>
      <c r="E45" s="54"/>
      <c r="F45" s="67" t="s">
        <v>135</v>
      </c>
      <c r="G45" s="247"/>
      <c r="H45" s="246"/>
      <c r="I45" s="177" t="s">
        <v>214</v>
      </c>
      <c r="J45" s="62"/>
      <c r="K45" s="243" t="s">
        <v>314</v>
      </c>
    </row>
    <row r="46" spans="2:11" x14ac:dyDescent="0.25">
      <c r="B46" s="259"/>
      <c r="C46" s="26" t="s">
        <v>200</v>
      </c>
      <c r="D46" s="155" t="s">
        <v>68</v>
      </c>
      <c r="E46" s="155" t="s">
        <v>69</v>
      </c>
      <c r="F46" s="155" t="s">
        <v>19</v>
      </c>
      <c r="G46" s="155" t="s">
        <v>71</v>
      </c>
      <c r="H46" s="155" t="s">
        <v>21</v>
      </c>
      <c r="I46" s="297" t="s">
        <v>215</v>
      </c>
      <c r="J46" s="298" t="s">
        <v>202</v>
      </c>
      <c r="K46" s="299" t="s">
        <v>203</v>
      </c>
    </row>
    <row r="47" spans="2:11" x14ac:dyDescent="0.25">
      <c r="B47" s="311">
        <v>1</v>
      </c>
      <c r="C47" s="150">
        <f>IF($B$47=1,'Aktuelle fôrslag'!$J$3,IF($B$47=2,'Aktuelle fôrslag'!$J$4,IF($B$47=3,'Aktuelle fôrslag'!$J$5,IF($B$47=4,'Aktuelle fôrslag'!$J$6,IF($B$47=5,'Aktuelle fôrslag'!$J$7,IF($B$47=6,'Aktuelle fôrslag'!$J$8))))))</f>
        <v>0</v>
      </c>
      <c r="D47" s="150">
        <f>IF($B$47=1,'Aktuelle fôrslag'!$K$3,IF($B$47=2,'Aktuelle fôrslag'!$K$4,IF($B$47=3,'Aktuelle fôrslag'!$K$5,IF($B$47=4,'Aktuelle fôrslag'!$K$6,IF($B$47=5,'Aktuelle fôrslag'!$K$7,IF($B$47=6,'Aktuelle fôrslag'!$K$8))))))</f>
        <v>0</v>
      </c>
      <c r="E47" s="151">
        <f>IF($B$47=1,'Aktuelle fôrslag'!$L$3,IF($B$47=2,'Aktuelle fôrslag'!$L$4,IF($B$47=3,'Aktuelle fôrslag'!$L$5,IF($B$47=4,'Aktuelle fôrslag'!$L$6,IF($B$47=5,'Aktuelle fôrslag'!$L$7,IF($B$47=6,'Aktuelle fôrslag'!$L$8))))))</f>
        <v>0</v>
      </c>
      <c r="F47" s="186">
        <f>IF($B$47=1,'Aktuelle fôrslag'!$M$3,IF($B$47=2,'Aktuelle fôrslag'!$M$4,IF($B$47=3,'Aktuelle fôrslag'!$M$5,IF($B$47=4,'Aktuelle fôrslag'!$M$6,IF($B$47=5,'Aktuelle fôrslag'!$M$7,IF($B$47=6,'Aktuelle fôrslag'!$M$8))))))</f>
        <v>0</v>
      </c>
      <c r="G47" s="151">
        <f>IF($B$47=1,'Aktuelle fôrslag'!$N$3,IF($B$47=2,'Aktuelle fôrslag'!$N$4,IF($B$47=3,'Aktuelle fôrslag'!$N$5,IF($B$47=4,'Aktuelle fôrslag'!$N$6,IF($B$47=5,'Aktuelle fôrslag'!$N$7,IF($B$47=6,'Aktuelle fôrslag'!$N$8))))))</f>
        <v>23.323499999999999</v>
      </c>
      <c r="H47" s="151">
        <f>IF($B$47=1,'Aktuelle fôrslag'!$O$3,IF($B$47=2,'Aktuelle fôrslag'!$O$4,IF($B$47=3,'Aktuelle fôrslag'!$O$5,IF($B$47=4,'Aktuelle fôrslag'!$O$6,IF($B$47=5,'Aktuelle fôrslag'!$O$7,IF($B$47=6,'Aktuelle fôrslag'!$O$8))))))</f>
        <v>-144.6</v>
      </c>
      <c r="I47" s="151">
        <f>IF($B$47=1,'Aktuelle fôrslag'!$Q$3,IF($B$47=2,'Aktuelle fôrslag'!$Q$4,IF($B$47=3,'Aktuelle fôrslag'!$Q$5,IF($B$47=4,'Aktuelle fôrslag'!$Q$6,IF($B$47=5,'Aktuelle fôrslag'!$Q$7,IF($B$47=6,'Aktuelle fôrslag'!$Q$8))))))</f>
        <v>0</v>
      </c>
      <c r="J47" s="313">
        <v>1</v>
      </c>
      <c r="K47" s="176">
        <f>(((14.4*F47)-2))*J47</f>
        <v>-2</v>
      </c>
    </row>
    <row r="48" spans="2:11" x14ac:dyDescent="0.25">
      <c r="B48" s="311">
        <v>6</v>
      </c>
      <c r="C48" s="150" t="str">
        <f>IF($B$48=1,'Aktuelle fôrslag'!$J$3,IF($B$48=2,'Aktuelle fôrslag'!$J$4,IF($B$48=3,'Aktuelle fôrslag'!$J$5,IF($B$48=4,'Aktuelle fôrslag'!$J$6,IF($B$48=5,'Aktuelle fôrslag'!$J$7,IF($B$48=6,'Aktuelle fôrslag'!$J$8))))))</f>
        <v>Ingen grovfôr nr 2</v>
      </c>
      <c r="D48" s="150">
        <f>IF($B$48=1,'Aktuelle fôrslag'!$K$3,IF($B$48=2,'Aktuelle fôrslag'!$K$4,IF($B$48=3,'Aktuelle fôrslag'!$K$5,IF($B$48=4,'Aktuelle fôrslag'!$K$6,IF($B$48=5,'Aktuelle fôrslag'!$K$7,IF($B$48=6,'Aktuelle fôrslag'!$K$8))))))</f>
        <v>0</v>
      </c>
      <c r="E48" s="151">
        <f>IF($B$48=1,'Aktuelle fôrslag'!$L$3,IF($B$48=2,'Aktuelle fôrslag'!$L$4,IF($B$48=3,'Aktuelle fôrslag'!$L$5,IF($B$48=4,'Aktuelle fôrslag'!$L$6,IF($B$48=5,'Aktuelle fôrslag'!$L$7,IF($B$48=6,'Aktuelle fôrslag'!$L$8))))))</f>
        <v>0</v>
      </c>
      <c r="F48" s="186">
        <f>IF($B$48=1,'Aktuelle fôrslag'!$M$3,IF($B$48=2,'Aktuelle fôrslag'!$M$4,IF($B$48=3,'Aktuelle fôrslag'!$M$5,IF($B$48=4,'Aktuelle fôrslag'!$M$6,IF($B$48=5,'Aktuelle fôrslag'!$M$7,IF($B$48=6,'Aktuelle fôrslag'!$M$8))))))</f>
        <v>0</v>
      </c>
      <c r="G48" s="151">
        <f>IF($B$48=1,'Aktuelle fôrslag'!$N$3,IF($B$48=2,'Aktuelle fôrslag'!$N$4,IF($B$48=3,'Aktuelle fôrslag'!$N$5,IF($B$48=4,'Aktuelle fôrslag'!$N$6,IF($B$48=5,'Aktuelle fôrslag'!$N$7,IF($B$48=6,'Aktuelle fôrslag'!$N$8))))))</f>
        <v>0</v>
      </c>
      <c r="H48" s="151">
        <f>IF($B$48=1,'Aktuelle fôrslag'!$O$3,IF($B$48=2,'Aktuelle fôrslag'!$O$4,IF($B$48=3,'Aktuelle fôrslag'!$O$5,IF($B$48=4,'Aktuelle fôrslag'!$O$6,IF($B$48=5,'Aktuelle fôrslag'!$O$7,IF($B$48=6,'Aktuelle fôrslag'!$O$8))))))</f>
        <v>0</v>
      </c>
      <c r="I48" s="151">
        <f>IF($B$48=1,'Aktuelle fôrslag'!$Q$3,IF($B$48=2,'Aktuelle fôrslag'!$Q$4,IF($B$48=3,'Aktuelle fôrslag'!$Q$5,IF($B$48=4,'Aktuelle fôrslag'!$Q$6,IF($B$48=5,'Aktuelle fôrslag'!$Q$7,IF($B$48=6,'Aktuelle fôrslag'!$Q$8))))))</f>
        <v>1</v>
      </c>
      <c r="J48" s="260"/>
      <c r="K48" s="243"/>
    </row>
    <row r="49" spans="2:18" x14ac:dyDescent="0.25">
      <c r="B49" s="248"/>
      <c r="C49" s="149" t="s">
        <v>204</v>
      </c>
      <c r="D49" s="69"/>
      <c r="E49" s="313">
        <v>1</v>
      </c>
      <c r="F49" s="62"/>
      <c r="G49" s="62"/>
      <c r="H49" s="62"/>
      <c r="I49" s="62"/>
      <c r="J49" s="62"/>
      <c r="K49" s="243"/>
    </row>
    <row r="50" spans="2:18" x14ac:dyDescent="0.25">
      <c r="B50" s="248"/>
      <c r="C50" s="62"/>
      <c r="D50" s="62"/>
      <c r="E50" s="62"/>
      <c r="F50" s="62"/>
      <c r="G50" s="62"/>
      <c r="H50" s="62"/>
      <c r="I50" s="62"/>
      <c r="J50" s="62"/>
      <c r="K50" s="243"/>
    </row>
    <row r="51" spans="2:18" x14ac:dyDescent="0.25">
      <c r="B51" s="248"/>
      <c r="C51" s="53" t="s">
        <v>147</v>
      </c>
      <c r="D51" s="149" t="s">
        <v>68</v>
      </c>
      <c r="E51" s="149" t="s">
        <v>148</v>
      </c>
      <c r="F51" s="149" t="s">
        <v>70</v>
      </c>
      <c r="G51" s="149" t="s">
        <v>71</v>
      </c>
      <c r="H51" s="149" t="s">
        <v>21</v>
      </c>
      <c r="I51" s="62"/>
      <c r="J51" s="62"/>
      <c r="K51" s="243"/>
    </row>
    <row r="52" spans="2:18" x14ac:dyDescent="0.25">
      <c r="B52" s="317">
        <v>1</v>
      </c>
      <c r="C52" s="145" t="str">
        <f>IF($B$52=1,'Aktuelle fôrslag'!$B$26,IF($B$52=2,'Aktuelle fôrslag'!$B$27,IF($B$52=3,'Aktuelle fôrslag'!$B$28,IF($B$52=4,'Aktuelle fôrslag'!$B$29,IF($B$52=5,'Aktuelle fôrslag'!$B$30,IF($B$52=6,'Aktuelle fôrslag'!$B$31,IF($B$52=7,'Aktuelle fôrslag'!$B$32,IF($B$52=8,'Aktuelle fôrslag'!$B$33,IF($B$52=9,'Aktuelle fôrslag'!$B$34,IF($B$52=10,'Aktuelle fôrslag'!$B$35,IF($B$52=11,'Aktuelle fôrslag'!$B$36,IF($B$52=12,'Aktuelle fôrslag'!$B$37,IF($B$52=13,'Aktuelle fôrslag'!$B$38,IF($B$52=14,'Aktuelle fôrslag'!$B$39,IF($B$52=15,'Aktuelle fôrslag'!$B$40,IF($B$52=16,'Aktuelle fôrslag'!$B$41,IF($B$52=17,'Aktuelle fôrslag'!$B$42,IF($B$52=18,'Aktuelle fôrslag'!$B$43,IF($B$52=19,'Aktuelle fôrslag'!$B$44,IF($B$52=20,'Aktuelle fôrslag'!$B$45,IF($B$52=21,'Aktuelle fôrslag'!$B$46,IF($B$52=22,'Aktuelle fôrslag'!$B$47,'Aktuelle fôrslag'!$B$48))))))))))))))))))))))</f>
        <v xml:space="preserve">Formel Sau FK Agri </v>
      </c>
      <c r="D52" s="146">
        <f>IF($B$52=1,'Aktuelle fôrslag'!$C$26,IF($B$52=2,'Aktuelle fôrslag'!$C$27,IF($B$52=3,'Aktuelle fôrslag'!$C$28,IF($B$52=4,'Aktuelle fôrslag'!$C$29,IF($B$52=5,'Aktuelle fôrslag'!$C$30,IF($B$52=6,'Aktuelle fôrslag'!$C$31,IF($B$52=7,'Aktuelle fôrslag'!$C$32,IF($B$52=8,'Aktuelle fôrslag'!$C$33,IF($B$52=9,'Aktuelle fôrslag'!$C$34,IF($B$52=10,'Aktuelle fôrslag'!$C$35,IF($B$52=11,'Aktuelle fôrslag'!$C$36,IF($B$52=12,'Aktuelle fôrslag'!$C$37,IF($B$52=13,'Aktuelle fôrslag'!$C$38,IF($B$52=14,'Aktuelle fôrslag'!$C$39,IF($B$52=15,'Aktuelle fôrslag'!$C$40,IF($B$52=16,'Aktuelle fôrslag'!$C$41,IF($B$52=17,'Aktuelle fôrslag'!$C$42,IF($B$52=18,'Aktuelle fôrslag'!$C$43,IF($B$52=19,'Aktuelle fôrslag'!$C$44,IF($B$52=20,'Aktuelle fôrslag'!$C$45,IF($B$52=21,'Aktuelle fôrslag'!$C$46,IF($B$52=22,'Aktuelle fôrslag'!$C$47,'Aktuelle fôrslag'!$C$48))))))))))))))))))))))</f>
        <v>0.88</v>
      </c>
      <c r="E52" s="147">
        <f>IF($B$52=1,'Aktuelle fôrslag'!$D$26,IF($B$52=2,'Aktuelle fôrslag'!$D$27,IF($B$52=3,'Aktuelle fôrslag'!$D$28,IF($B$52=4,'Aktuelle fôrslag'!$D$29,IF($B$52=5,'Aktuelle fôrslag'!$D$30,IF($B$52=6,'Aktuelle fôrslag'!$D$31,IF($B$52=7,'Aktuelle fôrslag'!$D$32,IF($B$52=8,'Aktuelle fôrslag'!$D$33,IF($B$52=9,'Aktuelle fôrslag'!$D$34,IF($B$52=10,'Aktuelle fôrslag'!$D$35,IF($B$52=11,'Aktuelle fôrslag'!$D$36,IF($B$52=12,'Aktuelle fôrslag'!$D$37,IF($B$52=13,'Aktuelle fôrslag'!$D$38,IF($B$52=14,'Aktuelle fôrslag'!$D$39,IF($B$52=15,'Aktuelle fôrslag'!$D$40,IF($B$52=16,'Aktuelle fôrslag'!$D$41,IF($B$52=17,'Aktuelle fôrslag'!$D$42,IF($B$52=18,'Aktuelle fôrslag'!$D$43,IF($B$52=19,'Aktuelle fôrslag'!$D$44,IF($B$52=20,'Aktuelle fôrslag'!$D$45,IF($B$52=21,'Aktuelle fôrslag'!$D$46,IF($B$52=22,'Aktuelle fôrslag'!$D$47,'Aktuelle fôrslag'!$D$48))))))))))))))))))))))</f>
        <v>190</v>
      </c>
      <c r="F52" s="148">
        <f>IF($B$52=1,'Aktuelle fôrslag'!$E$26,IF($B$52=2,'Aktuelle fôrslag'!$E$27,IF($B$52=3,'Aktuelle fôrslag'!$E$28,IF($B$52=4,'Aktuelle fôrslag'!$E$29,IF($B$52=5,'Aktuelle fôrslag'!$E$30,IF($B$52=6,'Aktuelle fôrslag'!$E$31,IF($B$52=7,'Aktuelle fôrslag'!$E$32,IF($B$52=8,'Aktuelle fôrslag'!$E$33,IF($B$52=9,'Aktuelle fôrslag'!$E$34,IF($B$52=10,'Aktuelle fôrslag'!$E$35,IF($B$52=11,'Aktuelle fôrslag'!$E$36,IF($B$52=12,'Aktuelle fôrslag'!$E$37,IF($B$52=13,'Aktuelle fôrslag'!$E$38,IF($B$52=14,'Aktuelle fôrslag'!$E$39,IF($B$52=15,'Aktuelle fôrslag'!$E$40,IF($B$52=16,'Aktuelle fôrslag'!$E$41,IF($B$52=17,'Aktuelle fôrslag'!$E$42,IF($B$52=18,'Aktuelle fôrslag'!$E$43,IF($B$52=19,'Aktuelle fôrslag'!$E$44,IF($B$52=20,'Aktuelle fôrslag'!$E$45,IF($B$52=21,'Aktuelle fôrslag'!$E$46,IF($B$52=22,'Aktuelle fôrslag'!$E$47,'Aktuelle fôrslag'!$E$48))))))))))))))))))))))</f>
        <v>1.0681818181818181</v>
      </c>
      <c r="G52" s="147">
        <f>IF($B$52=1,'Aktuelle fôrslag'!$F$26,IF($B$52=2,'Aktuelle fôrslag'!$F$27,IF($B$52=3,'Aktuelle fôrslag'!$F$28,IF($B$52=4,'Aktuelle fôrslag'!$F$29,IF($B$52=5,'Aktuelle fôrslag'!$F$30,IF($B$52=6,'Aktuelle fôrslag'!$F$31,IF($B$52=7,'Aktuelle fôrslag'!$F$32,IF($B$52=8,'Aktuelle fôrslag'!$F$33,IF($B$52=9,'Aktuelle fôrslag'!$F$34,IF($B$52=10,'Aktuelle fôrslag'!$F$35,IF($B$52=11,'Aktuelle fôrslag'!$F$36,IF($B$52=12,'Aktuelle fôrslag'!$F$37,IF($B$52=13,'Aktuelle fôrslag'!$F$38,IF($B$52=14,'Aktuelle fôrslag'!$F$39,IF($B$52=15,'Aktuelle fôrslag'!$F$40,IF($B$52=16,'Aktuelle fôrslag'!$F$41,IF($B$52=17,'Aktuelle fôrslag'!$F$42,IF($B$52=18,'Aktuelle fôrslag'!$F$43,IF($B$52=19,'Aktuelle fôrslag'!$F$44,IF($B$52=20,'Aktuelle fôrslag'!$F$45,IF($B$52=21,'Aktuelle fôrslag'!$F$46,IF($B$52=22,'Aktuelle fôrslag'!$F$47,'Aktuelle fôrslag'!$F$48))))))))))))))))))))))</f>
        <v>113.22727272727273</v>
      </c>
      <c r="H52" s="147">
        <f>IF($B$52=1,'Aktuelle fôrslag'!$G$26,IF($B$52=2,'Aktuelle fôrslag'!$G$27,IF($B$52=3,'Aktuelle fôrslag'!$G$28,IF($B$52=4,'Aktuelle fôrslag'!$G$29,IF($B$52=5,'Aktuelle fôrslag'!$G$30,IF($B$52=6,'Aktuelle fôrslag'!$G$31,IF($B$52=7,'Aktuelle fôrslag'!$G$32,IF($B$52=8,'Aktuelle fôrslag'!$G$33,IF($B$52=9,'Aktuelle fôrslag'!$G$34,IF($B$52=10,'Aktuelle fôrslag'!$G$35,IF($B$52=11,'Aktuelle fôrslag'!$G$36,IF($B$52=12,'Aktuelle fôrslag'!$G$37,IF($B$52=13,'Aktuelle fôrslag'!$G$38,IF($B$52=14,'Aktuelle fôrslag'!$G$39,IF($B$52=15,'Aktuelle fôrslag'!$G$40,IF($B$52=16,'Aktuelle fôrslag'!$G$41,IF($B$52=17,'Aktuelle fôrslag'!$G$42,IF($B$52=18,'Aktuelle fôrslag'!$G$43,IF($B$52=19,'Aktuelle fôrslag'!$G$44,IF($B$52=20,'Aktuelle fôrslag'!$G$45,IF($B$52=21,'Aktuelle fôrslag'!$G$46,IF($B$52=22,'Aktuelle fôrslag'!$G$47,'Aktuelle fôrslag'!$G$48))))))))))))))))))))))</f>
        <v>5.3409090909090899</v>
      </c>
      <c r="I52" s="62"/>
      <c r="J52" s="62"/>
      <c r="K52" s="243"/>
    </row>
    <row r="53" spans="2:18" x14ac:dyDescent="0.25">
      <c r="B53" s="248"/>
      <c r="C53" s="261"/>
      <c r="D53" s="262"/>
      <c r="E53" s="263"/>
      <c r="F53" s="264"/>
      <c r="G53" s="263"/>
      <c r="H53" s="263"/>
      <c r="I53" s="62"/>
      <c r="J53" s="62"/>
      <c r="K53" s="243"/>
    </row>
    <row r="54" spans="2:18" x14ac:dyDescent="0.25">
      <c r="B54" s="244"/>
      <c r="C54" s="62"/>
      <c r="D54" s="62"/>
      <c r="E54" s="62"/>
      <c r="F54" s="62"/>
      <c r="G54" s="62"/>
      <c r="H54" s="62"/>
      <c r="I54" s="62"/>
      <c r="J54" s="62"/>
      <c r="K54" s="243"/>
    </row>
    <row r="55" spans="2:18" x14ac:dyDescent="0.25">
      <c r="B55" s="244"/>
      <c r="C55" s="155" t="s">
        <v>216</v>
      </c>
      <c r="D55" s="155" t="s">
        <v>205</v>
      </c>
      <c r="E55" s="155" t="s">
        <v>206</v>
      </c>
      <c r="F55" s="155" t="s">
        <v>70</v>
      </c>
      <c r="G55" s="155" t="s">
        <v>20</v>
      </c>
      <c r="H55" s="155" t="s">
        <v>21</v>
      </c>
      <c r="I55" s="155" t="s">
        <v>69</v>
      </c>
      <c r="J55" s="209" t="s">
        <v>312</v>
      </c>
      <c r="K55" s="489" t="s">
        <v>70</v>
      </c>
    </row>
    <row r="56" spans="2:18" x14ac:dyDescent="0.25">
      <c r="B56" s="244"/>
      <c r="C56" s="160">
        <f>C47</f>
        <v>0</v>
      </c>
      <c r="D56" s="156" t="e">
        <f>Q59</f>
        <v>#DIV/0!</v>
      </c>
      <c r="E56" s="156" t="e">
        <f>D56/D47</f>
        <v>#DIV/0!</v>
      </c>
      <c r="F56" s="156" t="e">
        <f>D56*F47</f>
        <v>#DIV/0!</v>
      </c>
      <c r="G56" s="158" t="e">
        <f>D56*G47</f>
        <v>#DIV/0!</v>
      </c>
      <c r="H56" s="157" t="e">
        <f>D56*H47</f>
        <v>#DIV/0!</v>
      </c>
      <c r="I56" s="158" t="e">
        <f>D56*E47</f>
        <v>#DIV/0!</v>
      </c>
      <c r="J56" s="490" t="e">
        <f>((Planopplysninger!D17*K47)/E47)-(D57*E49)</f>
        <v>#DIV/0!</v>
      </c>
      <c r="K56" s="489"/>
    </row>
    <row r="57" spans="2:18" x14ac:dyDescent="0.25">
      <c r="B57" s="244"/>
      <c r="C57" s="53" t="str">
        <f>C48</f>
        <v>Ingen grovfôr nr 2</v>
      </c>
      <c r="D57" s="53">
        <f>E57*D48</f>
        <v>0</v>
      </c>
      <c r="E57" s="319">
        <v>1</v>
      </c>
      <c r="F57" s="156">
        <f>D57*F48</f>
        <v>0</v>
      </c>
      <c r="G57" s="158">
        <f>D57*G48</f>
        <v>0</v>
      </c>
      <c r="H57" s="53">
        <f>D57*H48</f>
        <v>0</v>
      </c>
      <c r="I57" s="158">
        <f>D57*E48</f>
        <v>0</v>
      </c>
      <c r="J57" s="209">
        <f>E57*D48</f>
        <v>0</v>
      </c>
      <c r="K57" s="489">
        <f>D57*F48</f>
        <v>0</v>
      </c>
    </row>
    <row r="58" spans="2:18" x14ac:dyDescent="0.25">
      <c r="B58" s="244"/>
      <c r="C58" s="53" t="s">
        <v>207</v>
      </c>
      <c r="D58" s="156" t="e">
        <f t="shared" ref="D58:I58" si="1">D56+D57</f>
        <v>#DIV/0!</v>
      </c>
      <c r="E58" s="156" t="e">
        <f t="shared" si="1"/>
        <v>#DIV/0!</v>
      </c>
      <c r="F58" s="156" t="e">
        <f t="shared" si="1"/>
        <v>#DIV/0!</v>
      </c>
      <c r="G58" s="158" t="e">
        <f t="shared" si="1"/>
        <v>#DIV/0!</v>
      </c>
      <c r="H58" s="158" t="e">
        <f t="shared" si="1"/>
        <v>#DIV/0!</v>
      </c>
      <c r="I58" s="158" t="e">
        <f t="shared" si="1"/>
        <v>#DIV/0!</v>
      </c>
      <c r="J58" s="490" t="e">
        <f>J56+J57</f>
        <v>#DIV/0!</v>
      </c>
      <c r="K58" s="489"/>
      <c r="L58" t="s">
        <v>67</v>
      </c>
      <c r="M58" s="155" t="s">
        <v>220</v>
      </c>
      <c r="N58" s="155" t="s">
        <v>221</v>
      </c>
      <c r="O58" s="155" t="s">
        <v>222</v>
      </c>
      <c r="P58" s="155" t="s">
        <v>223</v>
      </c>
      <c r="Q58" s="85" t="s">
        <v>319</v>
      </c>
    </row>
    <row r="59" spans="2:18" x14ac:dyDescent="0.25">
      <c r="B59" s="244"/>
      <c r="C59" s="62"/>
      <c r="D59" s="210"/>
      <c r="E59" s="210"/>
      <c r="F59" s="210"/>
      <c r="G59" s="86"/>
      <c r="H59" s="86"/>
      <c r="I59" s="86"/>
      <c r="J59" s="62"/>
      <c r="K59" s="243"/>
      <c r="L59" t="s">
        <v>316</v>
      </c>
      <c r="M59" t="e">
        <f>($J$58+(-0.0105*1^2)+(0.0525*1)-0.14)</f>
        <v>#DIV/0!</v>
      </c>
      <c r="N59" t="e">
        <f>($J$58+(-0.0105*3^2)+(0.0525*3)-(0.14))</f>
        <v>#DIV/0!</v>
      </c>
      <c r="O59" t="e">
        <f>($J$58+(-0.0105*5^2)+(0.0525*5)-(0.14))</f>
        <v>#DIV/0!</v>
      </c>
      <c r="P59" t="e">
        <f>($J$58+(-0.0105*7^2)+(0.0525*7)-(0.14))</f>
        <v>#DIV/0!</v>
      </c>
      <c r="Q59" t="e">
        <f>AVERAGE(M60:P60)</f>
        <v>#DIV/0!</v>
      </c>
    </row>
    <row r="60" spans="2:18" x14ac:dyDescent="0.25">
      <c r="B60" s="244"/>
      <c r="C60" s="62"/>
      <c r="D60" s="66" t="s">
        <v>217</v>
      </c>
      <c r="E60" s="28"/>
      <c r="F60" s="62"/>
      <c r="G60" s="62"/>
      <c r="H60" s="66" t="s">
        <v>218</v>
      </c>
      <c r="I60" s="28"/>
      <c r="J60" s="62"/>
      <c r="K60" s="243"/>
      <c r="L60" t="s">
        <v>315</v>
      </c>
      <c r="M60" t="e">
        <f>(M59-$J$57)*$F$47+$K$57</f>
        <v>#DIV/0!</v>
      </c>
      <c r="N60" t="e">
        <f t="shared" ref="N60:P60" si="2">(N59-$J$57)*$F$47+$K$57</f>
        <v>#DIV/0!</v>
      </c>
      <c r="O60" t="e">
        <f t="shared" si="2"/>
        <v>#DIV/0!</v>
      </c>
      <c r="P60" t="e">
        <f t="shared" si="2"/>
        <v>#DIV/0!</v>
      </c>
    </row>
    <row r="61" spans="2:18" x14ac:dyDescent="0.25">
      <c r="B61" s="244"/>
      <c r="C61" s="155" t="s">
        <v>219</v>
      </c>
      <c r="D61" s="155" t="s">
        <v>220</v>
      </c>
      <c r="E61" s="155" t="s">
        <v>221</v>
      </c>
      <c r="F61" s="155" t="s">
        <v>222</v>
      </c>
      <c r="G61" s="155" t="s">
        <v>223</v>
      </c>
      <c r="H61" s="155" t="s">
        <v>150</v>
      </c>
      <c r="I61" s="155" t="s">
        <v>151</v>
      </c>
      <c r="J61" s="62"/>
      <c r="K61" s="243"/>
      <c r="L61" s="53" t="s">
        <v>224</v>
      </c>
      <c r="M61" s="125" t="e">
        <f>Planopplysninger!C33-Planlegging!M60</f>
        <v>#DIV/0!</v>
      </c>
      <c r="N61" s="125" t="e">
        <f>Planopplysninger!D33-Planlegging!N60</f>
        <v>#DIV/0!</v>
      </c>
      <c r="O61" s="125" t="e">
        <f>Planopplysninger!E33-Planlegging!O60</f>
        <v>#DIV/0!</v>
      </c>
      <c r="P61" s="125" t="e">
        <f>Planopplysninger!F33-Planlegging!P60</f>
        <v>#DIV/0!</v>
      </c>
    </row>
    <row r="62" spans="2:18" x14ac:dyDescent="0.25">
      <c r="B62" s="244"/>
      <c r="C62" s="53" t="s">
        <v>224</v>
      </c>
      <c r="D62" s="286" t="e">
        <f>M61</f>
        <v>#DIV/0!</v>
      </c>
      <c r="E62" s="286" t="e">
        <f t="shared" ref="E62:G62" si="3">N61</f>
        <v>#DIV/0!</v>
      </c>
      <c r="F62" s="286" t="e">
        <f t="shared" si="3"/>
        <v>#DIV/0!</v>
      </c>
      <c r="G62" s="286" t="e">
        <f t="shared" si="3"/>
        <v>#DIV/0!</v>
      </c>
      <c r="H62" s="286" t="e">
        <f>IF(G62&gt;0,((Planopplysninger!F39-Planlegging!$G$58)/G62),"")</f>
        <v>#DIV/0!</v>
      </c>
      <c r="I62" s="286" t="e">
        <f>IF(G62&gt;0,((Planopplysninger!G23-$H$58)/G62),"")</f>
        <v>#DIV/0!</v>
      </c>
      <c r="J62" s="62"/>
      <c r="K62" s="243"/>
      <c r="L62" s="53" t="s">
        <v>225</v>
      </c>
      <c r="M62" s="125" t="e">
        <f>Planopplysninger!C34-Planlegging!M60</f>
        <v>#DIV/0!</v>
      </c>
      <c r="N62" s="125" t="e">
        <f>Planopplysninger!D34-Planlegging!N60</f>
        <v>#DIV/0!</v>
      </c>
      <c r="O62" s="125" t="e">
        <f>Planopplysninger!E34-Planlegging!O60</f>
        <v>#DIV/0!</v>
      </c>
      <c r="P62" s="125" t="e">
        <f>Planopplysninger!F34-Planlegging!P60</f>
        <v>#DIV/0!</v>
      </c>
    </row>
    <row r="63" spans="2:18" x14ac:dyDescent="0.25">
      <c r="B63" s="244"/>
      <c r="C63" s="53" t="s">
        <v>225</v>
      </c>
      <c r="D63" s="286" t="e">
        <f t="shared" ref="D63:D64" si="4">M62</f>
        <v>#DIV/0!</v>
      </c>
      <c r="E63" s="286" t="e">
        <f t="shared" ref="E63:E64" si="5">N62</f>
        <v>#DIV/0!</v>
      </c>
      <c r="F63" s="286" t="e">
        <f t="shared" ref="F63:F64" si="6">O62</f>
        <v>#DIV/0!</v>
      </c>
      <c r="G63" s="286" t="e">
        <f t="shared" ref="G63:G64" si="7">P62</f>
        <v>#DIV/0!</v>
      </c>
      <c r="H63" s="286" t="e">
        <f>IF(G63&gt;0,((Planopplysninger!F40-Planlegging!$G$58)/G63),"")</f>
        <v>#DIV/0!</v>
      </c>
      <c r="I63" s="286" t="e">
        <f>IF(G63&gt;0,((Planopplysninger!G23-$H$58)/G63),"")</f>
        <v>#DIV/0!</v>
      </c>
      <c r="J63" s="62"/>
      <c r="K63" s="243"/>
      <c r="L63" s="53" t="s">
        <v>226</v>
      </c>
      <c r="M63" s="125" t="e">
        <f>Planopplysninger!C35-Planlegging!M60</f>
        <v>#DIV/0!</v>
      </c>
      <c r="N63" s="125" t="e">
        <f>Planopplysninger!D35-Planlegging!N60</f>
        <v>#DIV/0!</v>
      </c>
      <c r="O63" s="125" t="e">
        <f>Planopplysninger!E35-Planlegging!O60</f>
        <v>#DIV/0!</v>
      </c>
      <c r="P63" s="125" t="e">
        <f>Planopplysninger!F35-Planlegging!P60</f>
        <v>#DIV/0!</v>
      </c>
      <c r="Q63" s="488"/>
      <c r="R63" s="125"/>
    </row>
    <row r="64" spans="2:18" x14ac:dyDescent="0.25">
      <c r="B64" s="244"/>
      <c r="C64" s="53" t="s">
        <v>226</v>
      </c>
      <c r="D64" s="286" t="e">
        <f t="shared" si="4"/>
        <v>#DIV/0!</v>
      </c>
      <c r="E64" s="286" t="e">
        <f t="shared" si="5"/>
        <v>#DIV/0!</v>
      </c>
      <c r="F64" s="286" t="e">
        <f t="shared" si="6"/>
        <v>#DIV/0!</v>
      </c>
      <c r="G64" s="286" t="e">
        <f t="shared" si="7"/>
        <v>#DIV/0!</v>
      </c>
      <c r="H64" s="286" t="e">
        <f>IF(G64&gt;0,(Planopplysninger!F41-Planlegging!G58)/G64,"")</f>
        <v>#DIV/0!</v>
      </c>
      <c r="I64" s="286" t="e">
        <f>IF(G64&gt;0,((Planopplysninger!G23-$H$58)/G64),"")</f>
        <v>#DIV/0!</v>
      </c>
      <c r="J64" s="62"/>
      <c r="K64" s="243"/>
      <c r="N64" s="125"/>
      <c r="Q64" s="488"/>
      <c r="R64" s="125"/>
    </row>
    <row r="65" spans="2:18" x14ac:dyDescent="0.25">
      <c r="B65" s="244"/>
      <c r="C65" s="66" t="s">
        <v>208</v>
      </c>
      <c r="D65" s="155" t="s">
        <v>227</v>
      </c>
      <c r="E65" s="53"/>
      <c r="F65" s="266"/>
      <c r="G65" s="266"/>
      <c r="H65" s="155" t="s">
        <v>218</v>
      </c>
      <c r="J65" s="62"/>
      <c r="K65" s="243"/>
      <c r="N65" s="125"/>
      <c r="Q65" s="488"/>
      <c r="R65" s="125"/>
    </row>
    <row r="66" spans="2:18" x14ac:dyDescent="0.25">
      <c r="B66" s="244"/>
      <c r="C66" s="178" t="str">
        <f>C52</f>
        <v xml:space="preserve">Formel Sau FK Agri </v>
      </c>
      <c r="D66" s="179">
        <f>C42</f>
        <v>45345</v>
      </c>
      <c r="E66" s="179">
        <f>D66+14</f>
        <v>45359</v>
      </c>
      <c r="F66" s="179">
        <f>E66+14</f>
        <v>45373</v>
      </c>
      <c r="G66" s="179">
        <f>F66+14</f>
        <v>45387</v>
      </c>
      <c r="H66" s="155" t="s">
        <v>209</v>
      </c>
      <c r="I66" s="62"/>
      <c r="J66" s="62"/>
      <c r="K66" s="243"/>
      <c r="N66" s="125"/>
      <c r="Q66" s="488"/>
      <c r="R66" s="125"/>
    </row>
    <row r="67" spans="2:18" x14ac:dyDescent="0.25">
      <c r="B67" s="244"/>
      <c r="C67" s="62"/>
      <c r="D67" s="156" t="e">
        <f t="shared" ref="D67:G69" si="8">IF(D62&gt;0,((D62/$F$52))/$D$52,"0")</f>
        <v>#DIV/0!</v>
      </c>
      <c r="E67" s="156" t="e">
        <f t="shared" si="8"/>
        <v>#DIV/0!</v>
      </c>
      <c r="F67" s="156" t="e">
        <f t="shared" si="8"/>
        <v>#DIV/0!</v>
      </c>
      <c r="G67" s="156" t="e">
        <f t="shared" si="8"/>
        <v>#DIV/0!</v>
      </c>
      <c r="H67" s="288" t="e">
        <f>((G67*$D$52)*$E$52+$I$58)/(($D$58+(G67*$D$52))*1000)</f>
        <v>#DIV/0!</v>
      </c>
      <c r="I67" s="62"/>
      <c r="J67" s="62"/>
      <c r="K67" s="243"/>
    </row>
    <row r="68" spans="2:18" x14ac:dyDescent="0.25">
      <c r="B68" s="244"/>
      <c r="C68" s="62"/>
      <c r="D68" s="156" t="e">
        <f t="shared" si="8"/>
        <v>#DIV/0!</v>
      </c>
      <c r="E68" s="156" t="e">
        <f t="shared" si="8"/>
        <v>#DIV/0!</v>
      </c>
      <c r="F68" s="156" t="e">
        <f t="shared" si="8"/>
        <v>#DIV/0!</v>
      </c>
      <c r="G68" s="156" t="e">
        <f t="shared" si="8"/>
        <v>#DIV/0!</v>
      </c>
      <c r="H68" s="288" t="e">
        <f>((G68*$D$52)*$E$52+$I$58)/(($D$58+(G68*$D$52))*1000)</f>
        <v>#DIV/0!</v>
      </c>
      <c r="I68" s="62"/>
      <c r="J68" s="62"/>
      <c r="K68" s="243"/>
    </row>
    <row r="69" spans="2:18" x14ac:dyDescent="0.25">
      <c r="B69" s="244"/>
      <c r="C69" s="62"/>
      <c r="D69" s="156" t="e">
        <f t="shared" si="8"/>
        <v>#DIV/0!</v>
      </c>
      <c r="E69" s="156" t="e">
        <f t="shared" si="8"/>
        <v>#DIV/0!</v>
      </c>
      <c r="F69" s="156" t="e">
        <f t="shared" si="8"/>
        <v>#DIV/0!</v>
      </c>
      <c r="G69" s="156" t="e">
        <f t="shared" si="8"/>
        <v>#DIV/0!</v>
      </c>
      <c r="H69" s="288" t="e">
        <f>((G69*$D$52)*$E$52+$I$58)/(($D$58+(G69*$D$52))*1000)</f>
        <v>#DIV/0!</v>
      </c>
      <c r="I69" s="62"/>
      <c r="J69" s="62"/>
      <c r="K69" s="243"/>
    </row>
    <row r="70" spans="2:18" x14ac:dyDescent="0.25">
      <c r="B70" s="244"/>
      <c r="C70" s="62"/>
      <c r="D70" s="210"/>
      <c r="E70" s="210"/>
      <c r="F70" s="210"/>
      <c r="G70" s="210"/>
      <c r="H70" s="265"/>
      <c r="I70" s="62"/>
      <c r="J70" s="62"/>
      <c r="K70" s="243"/>
    </row>
    <row r="71" spans="2:18" x14ac:dyDescent="0.25">
      <c r="B71" s="244"/>
      <c r="C71" s="155" t="str">
        <f>Planopplysninger!B43</f>
        <v>Påsettlam høgdrektig</v>
      </c>
      <c r="D71" s="155" t="s">
        <v>205</v>
      </c>
      <c r="E71" s="155" t="s">
        <v>206</v>
      </c>
      <c r="F71" s="155" t="s">
        <v>70</v>
      </c>
      <c r="G71" s="155" t="s">
        <v>20</v>
      </c>
      <c r="H71" s="155" t="s">
        <v>21</v>
      </c>
      <c r="I71" s="155" t="s">
        <v>69</v>
      </c>
      <c r="J71" s="62"/>
      <c r="K71" s="243"/>
    </row>
    <row r="72" spans="2:18" x14ac:dyDescent="0.25">
      <c r="B72" s="244"/>
      <c r="C72" s="160">
        <f>C47</f>
        <v>0</v>
      </c>
      <c r="D72" s="156" t="e">
        <f>((Planopplysninger!C44*K47)/E47)-(D73*E49)</f>
        <v>#DIV/0!</v>
      </c>
      <c r="E72" s="156" t="e">
        <f>D72/D47</f>
        <v>#DIV/0!</v>
      </c>
      <c r="F72" s="156" t="e">
        <f>D72*F47</f>
        <v>#DIV/0!</v>
      </c>
      <c r="G72" s="156" t="e">
        <f>D72*G47</f>
        <v>#DIV/0!</v>
      </c>
      <c r="H72" s="180" t="e">
        <f>H47*D72</f>
        <v>#DIV/0!</v>
      </c>
      <c r="I72" s="158" t="e">
        <f>E47*D72</f>
        <v>#DIV/0!</v>
      </c>
      <c r="J72" s="62"/>
      <c r="K72" s="243"/>
    </row>
    <row r="73" spans="2:18" x14ac:dyDescent="0.25">
      <c r="B73" s="244"/>
      <c r="C73" s="53" t="str">
        <f>C48</f>
        <v>Ingen grovfôr nr 2</v>
      </c>
      <c r="D73" s="156">
        <f>E73*D48</f>
        <v>0</v>
      </c>
      <c r="E73" s="318">
        <v>0</v>
      </c>
      <c r="F73" s="156">
        <f>D73*F48</f>
        <v>0</v>
      </c>
      <c r="G73" s="156">
        <f>D73*G48</f>
        <v>0</v>
      </c>
      <c r="H73" s="180">
        <f>D73*H48</f>
        <v>0</v>
      </c>
      <c r="I73" s="158">
        <f>D73*E48</f>
        <v>0</v>
      </c>
      <c r="J73" s="62"/>
      <c r="K73" s="243"/>
    </row>
    <row r="74" spans="2:18" x14ac:dyDescent="0.25">
      <c r="B74" s="244"/>
      <c r="C74" s="53" t="s">
        <v>207</v>
      </c>
      <c r="D74" s="156" t="e">
        <f t="shared" ref="D74:I74" si="9">D72+D73</f>
        <v>#DIV/0!</v>
      </c>
      <c r="E74" s="156" t="e">
        <f t="shared" si="9"/>
        <v>#DIV/0!</v>
      </c>
      <c r="F74" s="156" t="e">
        <f t="shared" si="9"/>
        <v>#DIV/0!</v>
      </c>
      <c r="G74" s="158" t="e">
        <f t="shared" si="9"/>
        <v>#DIV/0!</v>
      </c>
      <c r="H74" s="158" t="e">
        <f t="shared" si="9"/>
        <v>#DIV/0!</v>
      </c>
      <c r="I74" s="158" t="e">
        <f t="shared" si="9"/>
        <v>#DIV/0!</v>
      </c>
      <c r="J74" s="62"/>
      <c r="K74" s="243"/>
      <c r="N74" t="s">
        <v>228</v>
      </c>
    </row>
    <row r="75" spans="2:18" x14ac:dyDescent="0.25">
      <c r="B75" s="244"/>
      <c r="C75" s="62"/>
      <c r="D75" s="210"/>
      <c r="E75" s="267"/>
      <c r="F75" s="210"/>
      <c r="G75" s="86"/>
      <c r="H75" s="86"/>
      <c r="I75" s="86"/>
      <c r="J75" s="62"/>
      <c r="K75" s="243"/>
    </row>
    <row r="76" spans="2:18" x14ac:dyDescent="0.25">
      <c r="B76" s="244"/>
      <c r="C76" s="62"/>
      <c r="D76" s="62"/>
      <c r="E76" s="62"/>
      <c r="F76" s="210"/>
      <c r="G76" s="210"/>
      <c r="H76" s="268"/>
      <c r="I76" s="86"/>
      <c r="J76" s="62"/>
      <c r="K76" s="243"/>
    </row>
    <row r="77" spans="2:18" x14ac:dyDescent="0.25">
      <c r="B77" s="244"/>
      <c r="C77" s="155" t="s">
        <v>210</v>
      </c>
      <c r="D77" s="53"/>
      <c r="E77" s="53"/>
      <c r="F77" s="161" t="s">
        <v>70</v>
      </c>
      <c r="G77" s="162" t="s">
        <v>150</v>
      </c>
      <c r="H77" s="155" t="s">
        <v>151</v>
      </c>
      <c r="I77" s="163" t="s">
        <v>209</v>
      </c>
      <c r="J77" s="62"/>
      <c r="K77" s="243"/>
    </row>
    <row r="78" spans="2:18" x14ac:dyDescent="0.25">
      <c r="B78" s="244"/>
      <c r="C78" s="53" t="s">
        <v>229</v>
      </c>
      <c r="D78" s="53"/>
      <c r="E78" s="53"/>
      <c r="F78" s="286" t="e">
        <f>Planopplysninger!D45-Planlegging!F74</f>
        <v>#DIV/0!</v>
      </c>
      <c r="G78" s="286" t="e">
        <f>IF(F78&gt;0,(Planopplysninger!E45-G74)/F78,"")</f>
        <v>#DIV/0!</v>
      </c>
      <c r="H78" s="286" t="e">
        <f>IF(F78&gt;0,(Planopplysninger!F45-H74)/F78,"")</f>
        <v>#DIV/0!</v>
      </c>
      <c r="I78" s="288" t="e">
        <f>(I74+(F83*D52)*E52)/((D74*1000)+(F83*D52*1000))</f>
        <v>#DIV/0!</v>
      </c>
      <c r="J78" s="62"/>
      <c r="K78" s="243"/>
    </row>
    <row r="79" spans="2:18" x14ac:dyDescent="0.25">
      <c r="B79" s="244"/>
      <c r="C79" s="53" t="s">
        <v>230</v>
      </c>
      <c r="D79" s="53"/>
      <c r="E79" s="53"/>
      <c r="F79" s="286" t="e">
        <f>Planopplysninger!D46-Planlegging!F74</f>
        <v>#DIV/0!</v>
      </c>
      <c r="G79" s="286" t="e">
        <f>IF(F79&gt;0,(Planopplysninger!E46-G74)/F79,"")</f>
        <v>#DIV/0!</v>
      </c>
      <c r="H79" s="286" t="e">
        <f>IF(F79&gt;0,(Planopplysninger!F46-H74)/F79,"")</f>
        <v>#DIV/0!</v>
      </c>
      <c r="I79" s="288" t="e">
        <f>(I74+(F84*D52)*E52)/((D74*1000)+(F84*D52*1000))</f>
        <v>#DIV/0!</v>
      </c>
      <c r="J79" s="62"/>
      <c r="K79" s="243"/>
    </row>
    <row r="80" spans="2:18" x14ac:dyDescent="0.25">
      <c r="B80" s="244"/>
      <c r="C80" s="53" t="s">
        <v>231</v>
      </c>
      <c r="D80" s="53"/>
      <c r="E80" s="53"/>
      <c r="F80" s="286" t="e">
        <f>Planopplysninger!D47-Planlegging!F74</f>
        <v>#DIV/0!</v>
      </c>
      <c r="G80" s="286" t="e">
        <f>IF(F80&gt;0,(Planopplysninger!E47-G74)/F80,"")</f>
        <v>#DIV/0!</v>
      </c>
      <c r="H80" s="286" t="e">
        <f>IF(F80&gt;0,(Planopplysninger!F47-H74)/F80,"")</f>
        <v>#DIV/0!</v>
      </c>
      <c r="I80" s="288" t="e">
        <f>(I74+(F85*D52)*E52)/((D74*1000)+(F85*D52*1000))</f>
        <v>#DIV/0!</v>
      </c>
      <c r="J80" s="62"/>
      <c r="K80" s="243"/>
    </row>
    <row r="81" spans="2:12" x14ac:dyDescent="0.25">
      <c r="B81" s="244"/>
      <c r="C81" s="62"/>
      <c r="D81" s="62"/>
      <c r="E81" s="62"/>
      <c r="F81" s="62"/>
      <c r="G81" s="62"/>
      <c r="H81" s="62"/>
      <c r="I81" s="62"/>
      <c r="J81" s="62"/>
      <c r="K81" s="243"/>
    </row>
    <row r="82" spans="2:12" x14ac:dyDescent="0.25">
      <c r="B82" s="244"/>
      <c r="C82" s="177" t="s">
        <v>232</v>
      </c>
      <c r="D82" s="62"/>
      <c r="E82" s="62"/>
      <c r="F82" s="269"/>
      <c r="G82" s="269"/>
      <c r="H82" s="86"/>
      <c r="I82" s="265"/>
      <c r="J82" s="62"/>
      <c r="K82" s="243"/>
    </row>
    <row r="83" spans="2:12" x14ac:dyDescent="0.25">
      <c r="B83" s="244"/>
      <c r="C83" s="32" t="s">
        <v>229</v>
      </c>
      <c r="D83" s="182" t="str">
        <f>C52</f>
        <v xml:space="preserve">Formel Sau FK Agri </v>
      </c>
      <c r="E83" s="34" t="s">
        <v>211</v>
      </c>
      <c r="F83" s="481" t="e">
        <f>IF(F78&gt;0,((F78/$F$52))/$D$52,"0")</f>
        <v>#DIV/0!</v>
      </c>
      <c r="G83" s="269"/>
      <c r="H83" s="86" t="s">
        <v>228</v>
      </c>
      <c r="I83" s="265"/>
      <c r="J83" s="62"/>
      <c r="K83" s="243"/>
    </row>
    <row r="84" spans="2:12" x14ac:dyDescent="0.25">
      <c r="B84" s="244"/>
      <c r="C84" s="32" t="s">
        <v>230</v>
      </c>
      <c r="D84" s="413" t="str">
        <f>C52</f>
        <v xml:space="preserve">Formel Sau FK Agri </v>
      </c>
      <c r="E84" t="s">
        <v>211</v>
      </c>
      <c r="F84" s="414" t="e">
        <f>IF(F79&gt;0,((F79/$F$52))/$D$52,"0")</f>
        <v>#DIV/0!</v>
      </c>
      <c r="G84" s="62"/>
      <c r="H84" s="62"/>
      <c r="I84" s="268"/>
      <c r="J84" s="62"/>
      <c r="K84" s="243"/>
    </row>
    <row r="85" spans="2:12" ht="15.75" thickBot="1" x14ac:dyDescent="0.3">
      <c r="B85" s="253"/>
      <c r="C85" s="181" t="s">
        <v>231</v>
      </c>
      <c r="D85" s="183" t="str">
        <f>C52</f>
        <v xml:space="preserve">Formel Sau FK Agri </v>
      </c>
      <c r="E85" s="169" t="s">
        <v>211</v>
      </c>
      <c r="F85" s="184" t="e">
        <f>IF(F80&gt;0,((F80/$F$52))/$D$52,"0")</f>
        <v>#DIV/0!</v>
      </c>
      <c r="G85" s="254"/>
      <c r="H85" s="254"/>
      <c r="I85" s="254"/>
      <c r="J85" s="254"/>
      <c r="K85" s="255"/>
    </row>
    <row r="86" spans="2:12" ht="16.5" thickTop="1" thickBot="1" x14ac:dyDescent="0.3">
      <c r="D86" s="168"/>
      <c r="F86" s="46"/>
    </row>
    <row r="87" spans="2:12" ht="15.75" thickTop="1" x14ac:dyDescent="0.25">
      <c r="B87" s="270"/>
      <c r="C87" s="241"/>
      <c r="D87" s="241"/>
      <c r="E87" s="241"/>
      <c r="F87" s="241"/>
      <c r="G87" s="241"/>
      <c r="H87" s="241"/>
      <c r="I87" s="241"/>
      <c r="J87" s="241"/>
      <c r="K87" s="241"/>
      <c r="L87" s="165"/>
    </row>
    <row r="88" spans="2:12" ht="26.25" x14ac:dyDescent="0.4">
      <c r="B88" s="244"/>
      <c r="C88" s="300" t="s">
        <v>233</v>
      </c>
      <c r="D88" s="298" t="s">
        <v>234</v>
      </c>
      <c r="E88" s="62"/>
      <c r="F88" s="62"/>
      <c r="G88" s="62"/>
      <c r="H88" s="62"/>
      <c r="I88" s="62"/>
      <c r="J88" s="62"/>
      <c r="K88" s="62"/>
      <c r="L88" s="165"/>
    </row>
    <row r="89" spans="2:12" x14ac:dyDescent="0.25">
      <c r="B89" s="173" t="s">
        <v>198</v>
      </c>
      <c r="C89" s="172">
        <f>Planopplysninger!C11</f>
        <v>45401</v>
      </c>
      <c r="D89" s="53">
        <f>C90-C89</f>
        <v>21</v>
      </c>
      <c r="E89" s="62"/>
      <c r="F89" s="62"/>
      <c r="G89" s="62"/>
      <c r="H89" s="62"/>
      <c r="I89" s="62"/>
      <c r="J89" s="62"/>
      <c r="K89" s="62"/>
      <c r="L89" s="165"/>
    </row>
    <row r="90" spans="2:12" x14ac:dyDescent="0.25">
      <c r="B90" s="173" t="s">
        <v>198</v>
      </c>
      <c r="C90" s="185">
        <f>Planopplysninger!C12</f>
        <v>45422</v>
      </c>
      <c r="D90" s="62"/>
      <c r="E90" s="81"/>
      <c r="F90" s="53" t="s">
        <v>135</v>
      </c>
      <c r="G90" s="247"/>
      <c r="H90" s="246"/>
      <c r="I90" s="152" t="s">
        <v>214</v>
      </c>
      <c r="J90" s="62"/>
      <c r="K90" s="62"/>
      <c r="L90" s="165"/>
    </row>
    <row r="91" spans="2:12" x14ac:dyDescent="0.25">
      <c r="B91" s="244"/>
      <c r="C91" s="53" t="s">
        <v>200</v>
      </c>
      <c r="D91" s="53" t="s">
        <v>68</v>
      </c>
      <c r="E91" s="53" t="s">
        <v>69</v>
      </c>
      <c r="F91" s="53" t="s">
        <v>19</v>
      </c>
      <c r="G91" s="53" t="s">
        <v>71</v>
      </c>
      <c r="H91" s="53" t="s">
        <v>21</v>
      </c>
      <c r="I91" s="30" t="s">
        <v>215</v>
      </c>
      <c r="J91" s="53" t="s">
        <v>202</v>
      </c>
      <c r="K91" s="478" t="s">
        <v>203</v>
      </c>
      <c r="L91" s="165"/>
    </row>
    <row r="92" spans="2:12" x14ac:dyDescent="0.25">
      <c r="B92" s="311">
        <v>1</v>
      </c>
      <c r="C92" s="150">
        <f>IF($B$92=1,'Aktuelle fôrslag'!$J$3,IF($B$92=2,'Aktuelle fôrslag'!$J$4,IF($B$92=3,'Aktuelle fôrslag'!$J$5,IF($B$92=4,'Aktuelle fôrslag'!$J$6,IF($B$92=5,'Aktuelle fôrslag'!$J$7,IF($B$92=6,'Aktuelle fôrslag'!$J$8))))))</f>
        <v>0</v>
      </c>
      <c r="D92" s="150">
        <f>IF($B$92=1,'Aktuelle fôrslag'!$K$3,IF($B$92=2,'Aktuelle fôrslag'!$K$4,IF($B$92=3,'Aktuelle fôrslag'!$K$5,IF($B$92=4,'Aktuelle fôrslag'!$K$6,IF($B$92=5,'Aktuelle fôrslag'!$K$7,IF($B$92=6,'Aktuelle fôrslag'!$K$8))))))</f>
        <v>0</v>
      </c>
      <c r="E92" s="151">
        <f>IF($B$92=1,'Aktuelle fôrslag'!$L$3,IF($B$92=2,'Aktuelle fôrslag'!$L$4,IF($B$92=3,'Aktuelle fôrslag'!$L$5,IF($B$92=4,'Aktuelle fôrslag'!$L$6,IF($B$92=5,'Aktuelle fôrslag'!$L$7,IF($B$92=6,'Aktuelle fôrslag'!$L$8))))))</f>
        <v>0</v>
      </c>
      <c r="F92" s="186">
        <f>IF($B$92=1,'Aktuelle fôrslag'!$M$3,IF($B$92=2,'Aktuelle fôrslag'!$M$4,IF($B$92=3,'Aktuelle fôrslag'!$M$5,IF($B$92=4,'Aktuelle fôrslag'!$M$6,IF($B$92=5,'Aktuelle fôrslag'!$M$7,IF($B$92=6,'Aktuelle fôrslag'!$M$8))))))</f>
        <v>0</v>
      </c>
      <c r="G92" s="151">
        <f>IF($B$92=1,'Aktuelle fôrslag'!$N$3,IF($B$92=2,'Aktuelle fôrslag'!$N$4,IF($B$92=3,'Aktuelle fôrslag'!$N$5,IF($B$92=4,'Aktuelle fôrslag'!$N$6,IF($B$92=5,'Aktuelle fôrslag'!$N$7,IF($B$92=6,'Aktuelle fôrslag'!$N$8))))))</f>
        <v>23.323499999999999</v>
      </c>
      <c r="H92" s="151">
        <f>IF($B$92=1,'Aktuelle fôrslag'!$O$3,IF($B$92=2,'Aktuelle fôrslag'!$O$4,IF($B$92=3,'Aktuelle fôrslag'!$O$5,IF($B$92=4,'Aktuelle fôrslag'!$O$6,IF($B$92=5,'Aktuelle fôrslag'!$O$7,IF($B$92=6,'Aktuelle fôrslag'!$O$8))))))</f>
        <v>-144.6</v>
      </c>
      <c r="I92" s="151">
        <f>IF($B$92=1,'Aktuelle fôrslag'!$Q$3,IF($B$92=2,'Aktuelle fôrslag'!$Q$4,IF($B$92=3,'Aktuelle fôrslag'!$Q$5,IF($B$92=4,'Aktuelle fôrslag'!$Q$6,IF($B$92=5,'Aktuelle fôrslag'!$Q$7,IF($B$92=6,'Aktuelle fôrslag'!$Q$8))))))</f>
        <v>0</v>
      </c>
      <c r="J92" s="320">
        <v>1</v>
      </c>
      <c r="K92" s="190">
        <f>((14.4*F92))*J92</f>
        <v>0</v>
      </c>
      <c r="L92" s="165"/>
    </row>
    <row r="93" spans="2:12" x14ac:dyDescent="0.25">
      <c r="B93" s="311">
        <v>6</v>
      </c>
      <c r="C93" s="226" t="str">
        <f>IF($B$93=1,'Aktuelle fôrslag'!$J$3,IF($B$93=2,'Aktuelle fôrslag'!$J$4,IF($B$93=3,'Aktuelle fôrslag'!$J$5,IF($B$93=4,'Aktuelle fôrslag'!$J$6,IF($B$93=5,'Aktuelle fôrslag'!$J$7,IF($B$93=6,'Aktuelle fôrslag'!$J$8))))))</f>
        <v>Ingen grovfôr nr 2</v>
      </c>
      <c r="D93" s="150">
        <f>IF($B$93=1,'Aktuelle fôrslag'!$K$3,IF($B$93=2,'Aktuelle fôrslag'!$K$4,IF($B$93=3,'Aktuelle fôrslag'!$K$5,IF($B$93=4,'Aktuelle fôrslag'!$K$6,IF($B$93=5,'Aktuelle fôrslag'!$K$7,IF($B$93=6,'Aktuelle fôrslag'!$K$8))))))</f>
        <v>0</v>
      </c>
      <c r="E93" s="151">
        <f>IF($B$93=1,'Aktuelle fôrslag'!$L$3,IF($B$93=2,'Aktuelle fôrslag'!$L$4,IF($B$93=3,'Aktuelle fôrslag'!$L$5,IF($B$93=4,'Aktuelle fôrslag'!$L$6,IF($B$93=5,'Aktuelle fôrslag'!$L$7,IF($B$93=6,'Aktuelle fôrslag'!$L$8))))))</f>
        <v>0</v>
      </c>
      <c r="F93" s="186">
        <f>IF($B$93=1,'Aktuelle fôrslag'!$M$3,IF($B$93=2,'Aktuelle fôrslag'!$M$4,IF($B$93=3,'Aktuelle fôrslag'!$M$5,IF($B$93=4,'Aktuelle fôrslag'!$M$6,IF($B$93=5,'Aktuelle fôrslag'!$M$7,IF($B$93=6,'Aktuelle fôrslag'!$M$8))))))</f>
        <v>0</v>
      </c>
      <c r="G93" s="151">
        <f>IF($B$93=1,'Aktuelle fôrslag'!$N$3,IF($B$93=2,'Aktuelle fôrslag'!$N$4,IF($B$93=3,'Aktuelle fôrslag'!$N$5,IF($B$93=4,'Aktuelle fôrslag'!$N$6,IF($B$93=5,'Aktuelle fôrslag'!$N$7,IF($B$93=6,'Aktuelle fôrslag'!$N$8))))))</f>
        <v>0</v>
      </c>
      <c r="H93" s="151">
        <f>IF($B$93=1,'Aktuelle fôrslag'!$O$3,IF($B$93=2,'Aktuelle fôrslag'!$O$4,IF($B$93=3,'Aktuelle fôrslag'!$O$5,IF($B$93=4,'Aktuelle fôrslag'!$O$6,IF($B$93=5,'Aktuelle fôrslag'!$O$7,IF($B$93=6,'Aktuelle fôrslag'!$O$8))))))</f>
        <v>0</v>
      </c>
      <c r="I93" s="151">
        <f>IF($B$93=1,'Aktuelle fôrslag'!$Q$3,IF($B$93=2,'Aktuelle fôrslag'!$Q$4,IF($B$93=3,'Aktuelle fôrslag'!$Q$5,IF($B$93=4,'Aktuelle fôrslag'!$Q$6,IF($B$93=5,'Aktuelle fôrslag'!$Q$7,IF($B$93=6,'Aktuelle fôrslag'!$Q$8))))))</f>
        <v>1</v>
      </c>
      <c r="J93" s="62"/>
      <c r="K93" s="62"/>
      <c r="L93" s="165"/>
    </row>
    <row r="94" spans="2:12" x14ac:dyDescent="0.25">
      <c r="B94" s="244"/>
      <c r="C94" s="149" t="s">
        <v>204</v>
      </c>
      <c r="D94" s="53"/>
      <c r="E94" s="313">
        <v>1</v>
      </c>
      <c r="F94" s="62"/>
      <c r="G94" s="62"/>
      <c r="H94" s="62"/>
      <c r="I94" s="62"/>
      <c r="J94" s="62"/>
      <c r="K94" s="62"/>
      <c r="L94" s="165"/>
    </row>
    <row r="95" spans="2:12" x14ac:dyDescent="0.25">
      <c r="B95" s="244"/>
      <c r="C95" s="62"/>
      <c r="D95" s="62"/>
      <c r="E95" s="62"/>
      <c r="F95" s="62"/>
      <c r="G95" s="62"/>
      <c r="H95" s="62"/>
      <c r="I95" s="62"/>
      <c r="J95" s="62"/>
      <c r="K95" s="62"/>
      <c r="L95" s="165"/>
    </row>
    <row r="96" spans="2:12" x14ac:dyDescent="0.25">
      <c r="B96" s="248"/>
      <c r="C96" s="53" t="s">
        <v>147</v>
      </c>
      <c r="D96" s="149" t="s">
        <v>68</v>
      </c>
      <c r="E96" s="149" t="s">
        <v>148</v>
      </c>
      <c r="F96" s="149" t="s">
        <v>70</v>
      </c>
      <c r="G96" s="149" t="s">
        <v>71</v>
      </c>
      <c r="H96" s="149" t="s">
        <v>21</v>
      </c>
      <c r="I96" s="62"/>
      <c r="J96" s="62"/>
      <c r="K96" s="62"/>
      <c r="L96" s="165"/>
    </row>
    <row r="97" spans="2:12" x14ac:dyDescent="0.25">
      <c r="B97" s="311">
        <v>1</v>
      </c>
      <c r="C97" s="145" t="str">
        <f>IF($B$97=1,'Aktuelle fôrslag'!$B$26,IF($B$97=2,'Aktuelle fôrslag'!$B$27,IF($B$97=3,'Aktuelle fôrslag'!$B$28,IF($B$97=4,'Aktuelle fôrslag'!$B$29,IF($B$97=5,'Aktuelle fôrslag'!$B$30,IF($B$97=6,'Aktuelle fôrslag'!$B$31,IF($B$97=7,'Aktuelle fôrslag'!$B$32,IF($B$97=8,'Aktuelle fôrslag'!$B$33,IF($B$97=9,'Aktuelle fôrslag'!$B$34,IF($B$97=10,'Aktuelle fôrslag'!$B$35,IF($B$97=11,'Aktuelle fôrslag'!$B$36,IF($B$97=12,'Aktuelle fôrslag'!$B$37,IF($B$97=13,'Aktuelle fôrslag'!$B$38,IF($B$97=14,'Aktuelle fôrslag'!$B$39,IF($B$97=15,'Aktuelle fôrslag'!$B$40,IF($B$97=16,'Aktuelle fôrslag'!$B$41,IF($B$97=17,'Aktuelle fôrslag'!$B$42,IF($B$97=18,'Aktuelle fôrslag'!$B$43,IF($B$97=19,'Aktuelle fôrslag'!$B$44,IF($B$97=20,'Aktuelle fôrslag'!$B$45,IF($B$97=21,'Aktuelle fôrslag'!$B$46,IF($B$97=22,'Aktuelle fôrslag'!$B$47,'Aktuelle fôrslag'!$B$48))))))))))))))))))))))</f>
        <v xml:space="preserve">Formel Sau FK Agri </v>
      </c>
      <c r="D97" s="146">
        <f>IF($B$97=1,'Aktuelle fôrslag'!$C$26,IF($B$97=2,'Aktuelle fôrslag'!$C$27,IF($B$97=3,'Aktuelle fôrslag'!$C$28,IF($B$97=4,'Aktuelle fôrslag'!$C$29,IF($B$97=5,'Aktuelle fôrslag'!$C$30,IF($B$97=6,'Aktuelle fôrslag'!$C$31,IF($B$97=7,'Aktuelle fôrslag'!$C$32,IF($B$97=8,'Aktuelle fôrslag'!$C$33,IF($B$97=9,'Aktuelle fôrslag'!$C$34,IF($B$97=10,'Aktuelle fôrslag'!$C$35,IF($B$97=11,'Aktuelle fôrslag'!$C$36,IF($B$97=12,'Aktuelle fôrslag'!$C$37,IF($B$97=13,'Aktuelle fôrslag'!$C$38,IF($B$97=14,'Aktuelle fôrslag'!$C$39,IF($B$97=15,'Aktuelle fôrslag'!$C$40,IF($B$97=16,'Aktuelle fôrslag'!$C$41,IF($B$97=17,'Aktuelle fôrslag'!$C$42,IF($B$97=18,'Aktuelle fôrslag'!$C$43,IF($B$97=19,'Aktuelle fôrslag'!$C$44,IF($B$97=20,'Aktuelle fôrslag'!$C$45,IF($B$97=21,'Aktuelle fôrslag'!$C$46,IF($B$97=22,'Aktuelle fôrslag'!$C$47,'Aktuelle fôrslag'!$C$48))))))))))))))))))))))</f>
        <v>0.88</v>
      </c>
      <c r="E97" s="147">
        <f>IF($B$97=1,'Aktuelle fôrslag'!$D$26,IF($B$97=2,'Aktuelle fôrslag'!$D$27,IF($B$97=3,'Aktuelle fôrslag'!$D$28,IF($B$97=4,'Aktuelle fôrslag'!$D$29,IF($B$97=5,'Aktuelle fôrslag'!$D$30,IF($B$97=6,'Aktuelle fôrslag'!$D$31,IF($B$97=7,'Aktuelle fôrslag'!$D$32,IF($B$97=8,'Aktuelle fôrslag'!$D$33,IF($B$97=9,'Aktuelle fôrslag'!$D$34,IF($B$97=10,'Aktuelle fôrslag'!$D$35,IF($B$97=11,'Aktuelle fôrslag'!$D$36,IF($B$97=12,'Aktuelle fôrslag'!$D$37,IF($B$97=13,'Aktuelle fôrslag'!$D$38,IF($B$97=14,'Aktuelle fôrslag'!$D$39,IF($B$97=15,'Aktuelle fôrslag'!$D$40,IF($B$97=16,'Aktuelle fôrslag'!$D$41,IF($B$97=17,'Aktuelle fôrslag'!$D$42,IF($B$97=18,'Aktuelle fôrslag'!$D$43,IF($B$97=19,'Aktuelle fôrslag'!$D$44,IF($B$97=20,'Aktuelle fôrslag'!$D$45,IF($B$97=21,'Aktuelle fôrslag'!$D$46,IF($B$97=22,'Aktuelle fôrslag'!$D$47,'Aktuelle fôrslag'!$D$48))))))))))))))))))))))</f>
        <v>190</v>
      </c>
      <c r="F97" s="148">
        <f>IF($B$97=1,'Aktuelle fôrslag'!$E$26,IF($B$97=2,'Aktuelle fôrslag'!$E$27,IF($B$97=3,'Aktuelle fôrslag'!$E$28,IF($B$97=4,'Aktuelle fôrslag'!$E$29,IF($B$97=5,'Aktuelle fôrslag'!$E$30,IF($B$97=6,'Aktuelle fôrslag'!$E$31,IF($B$97=7,'Aktuelle fôrslag'!$E$32,IF($B$97=8,'Aktuelle fôrslag'!$E$33,IF($B$97=9,'Aktuelle fôrslag'!$E$34,IF($B$97=10,'Aktuelle fôrslag'!$E$35,IF($B$97=11,'Aktuelle fôrslag'!$E$36,IF($B$97=12,'Aktuelle fôrslag'!$E$37,IF($B$97=13,'Aktuelle fôrslag'!$E$38,IF($B$97=14,'Aktuelle fôrslag'!$E$39,IF($B$97=15,'Aktuelle fôrslag'!$E$40,IF($B$97=16,'Aktuelle fôrslag'!$E$41,IF($B$97=17,'Aktuelle fôrslag'!$E$42,IF($B$97=18,'Aktuelle fôrslag'!$E$43,IF($B$97=19,'Aktuelle fôrslag'!$E$44,IF($B$97=20,'Aktuelle fôrslag'!$E$45,IF($B$97=21,'Aktuelle fôrslag'!$E$46,IF($B$97=22,'Aktuelle fôrslag'!$E$47,'Aktuelle fôrslag'!$E$48))))))))))))))))))))))</f>
        <v>1.0681818181818181</v>
      </c>
      <c r="G97" s="147">
        <f>IF($B$97=1,'Aktuelle fôrslag'!$F$26,IF($B$97=2,'Aktuelle fôrslag'!$F$27,IF($B$97=3,'Aktuelle fôrslag'!$F$28,IF($B$97=4,'Aktuelle fôrslag'!$F$29,IF($B$97=5,'Aktuelle fôrslag'!$F$30,IF($B$97=6,'Aktuelle fôrslag'!$F$31,IF($B$97=7,'Aktuelle fôrslag'!$F$32,IF($B$97=8,'Aktuelle fôrslag'!$F$33,IF($B$97=9,'Aktuelle fôrslag'!$F$34,IF($B$97=10,'Aktuelle fôrslag'!$F$35,IF($B$97=11,'Aktuelle fôrslag'!$F$36,IF($B$97=12,'Aktuelle fôrslag'!$F$37,IF($B$97=13,'Aktuelle fôrslag'!$F$38,IF($B$97=14,'Aktuelle fôrslag'!$F$39,IF($B$97=15,'Aktuelle fôrslag'!$F$40,IF($B$97=16,'Aktuelle fôrslag'!$F$41,IF($B$97=17,'Aktuelle fôrslag'!$F$42,IF($B$97=18,'Aktuelle fôrslag'!$F$43,IF($B$97=19,'Aktuelle fôrslag'!$F$44,IF($B$97=20,'Aktuelle fôrslag'!$F$45,IF($B$97=21,'Aktuelle fôrslag'!$F$46,IF($B$97=22,'Aktuelle fôrslag'!$F$47,'Aktuelle fôrslag'!$F$48))))))))))))))))))))))</f>
        <v>113.22727272727273</v>
      </c>
      <c r="H97" s="147">
        <f>IF($B$97=1,'Aktuelle fôrslag'!$G$26,IF($B$97=2,'Aktuelle fôrslag'!$G$27,IF($B$97=3,'Aktuelle fôrslag'!$G$28,IF($B$97=4,'Aktuelle fôrslag'!$G$29,IF($B$97=5,'Aktuelle fôrslag'!$G$30,IF($B$97=6,'Aktuelle fôrslag'!$G$31,IF($B$97=7,'Aktuelle fôrslag'!$G$32,IF($B$97=8,'Aktuelle fôrslag'!$G$33,IF($B$97=9,'Aktuelle fôrslag'!$G$34,IF($B$97=10,'Aktuelle fôrslag'!$G$35,IF($B$97=11,'Aktuelle fôrslag'!$G$36,IF($B$97=12,'Aktuelle fôrslag'!$G$37,IF($B$97=13,'Aktuelle fôrslag'!$G$38,IF($B$97=14,'Aktuelle fôrslag'!$G$39,IF($B$97=15,'Aktuelle fôrslag'!$G$40,IF($B$97=16,'Aktuelle fôrslag'!$G$41,IF($B$97=17,'Aktuelle fôrslag'!$G$42,IF($B$97=18,'Aktuelle fôrslag'!$G$43,IF($B$97=19,'Aktuelle fôrslag'!$G$44,IF($B$97=20,'Aktuelle fôrslag'!$G$45,IF($B$97=21,'Aktuelle fôrslag'!$G$46,IF($B$97=22,'Aktuelle fôrslag'!$G$47,'Aktuelle fôrslag'!$G$48))))))))))))))))))))))</f>
        <v>5.3409090909090899</v>
      </c>
      <c r="I97" s="62"/>
      <c r="J97" s="62"/>
      <c r="K97" s="62"/>
      <c r="L97" s="165"/>
    </row>
    <row r="98" spans="2:12" x14ac:dyDescent="0.25">
      <c r="B98" s="244"/>
      <c r="C98" s="62"/>
      <c r="D98" s="62"/>
      <c r="E98" s="62"/>
      <c r="F98" s="62"/>
      <c r="G98" s="62"/>
      <c r="H98" s="62"/>
      <c r="I98" s="62"/>
      <c r="J98" s="62"/>
      <c r="K98" s="62"/>
      <c r="L98" s="165"/>
    </row>
    <row r="99" spans="2:12" x14ac:dyDescent="0.25">
      <c r="B99" s="244"/>
      <c r="C99" s="252"/>
      <c r="D99" s="62"/>
      <c r="E99" s="62"/>
      <c r="F99" s="62"/>
      <c r="G99" s="62"/>
      <c r="H99" s="62"/>
      <c r="I99" s="62"/>
      <c r="J99" s="62"/>
      <c r="K99" s="62"/>
      <c r="L99" s="165"/>
    </row>
    <row r="100" spans="2:12" x14ac:dyDescent="0.25">
      <c r="B100" s="244"/>
      <c r="C100" s="155" t="s">
        <v>48</v>
      </c>
      <c r="D100" s="155" t="s">
        <v>205</v>
      </c>
      <c r="E100" s="155" t="s">
        <v>206</v>
      </c>
      <c r="F100" s="155" t="s">
        <v>70</v>
      </c>
      <c r="G100" s="155" t="s">
        <v>20</v>
      </c>
      <c r="H100" s="155" t="s">
        <v>21</v>
      </c>
      <c r="I100" s="155" t="s">
        <v>69</v>
      </c>
      <c r="J100" s="62"/>
      <c r="K100" s="62"/>
      <c r="L100" s="165"/>
    </row>
    <row r="101" spans="2:12" x14ac:dyDescent="0.25">
      <c r="B101" s="244"/>
      <c r="C101" s="160">
        <f>C92</f>
        <v>0</v>
      </c>
      <c r="D101" s="156" t="e">
        <f>((Planopplysninger!D17*Planlegging!K92)/Planlegging!E92)-(D102*E94)</f>
        <v>#DIV/0!</v>
      </c>
      <c r="E101" s="156" t="e">
        <f>D101/D92</f>
        <v>#DIV/0!</v>
      </c>
      <c r="F101" s="156" t="e">
        <f>D101*F92</f>
        <v>#DIV/0!</v>
      </c>
      <c r="G101" s="158" t="e">
        <f>D101*G92</f>
        <v>#DIV/0!</v>
      </c>
      <c r="H101" s="157" t="e">
        <f>D101*H92</f>
        <v>#DIV/0!</v>
      </c>
      <c r="I101" s="158" t="e">
        <f>D101*E92</f>
        <v>#DIV/0!</v>
      </c>
      <c r="J101" s="62"/>
      <c r="K101" s="62"/>
      <c r="L101" s="165"/>
    </row>
    <row r="102" spans="2:12" x14ac:dyDescent="0.25">
      <c r="B102" s="244"/>
      <c r="C102" s="53" t="str">
        <f>C93</f>
        <v>Ingen grovfôr nr 2</v>
      </c>
      <c r="D102" s="53">
        <f>E102*D93</f>
        <v>0</v>
      </c>
      <c r="E102" s="319">
        <v>0</v>
      </c>
      <c r="F102" s="156">
        <f>D102*F93</f>
        <v>0</v>
      </c>
      <c r="G102" s="158">
        <f>D102*G93</f>
        <v>0</v>
      </c>
      <c r="H102" s="53">
        <f>D102*H93</f>
        <v>0</v>
      </c>
      <c r="I102" s="158">
        <f>D102*E93</f>
        <v>0</v>
      </c>
      <c r="J102" s="62"/>
      <c r="K102" s="62"/>
      <c r="L102" s="165"/>
    </row>
    <row r="103" spans="2:12" x14ac:dyDescent="0.25">
      <c r="B103" s="244"/>
      <c r="C103" s="53" t="s">
        <v>207</v>
      </c>
      <c r="D103" s="156" t="e">
        <f t="shared" ref="D103:I103" si="10">D101+D102</f>
        <v>#DIV/0!</v>
      </c>
      <c r="E103" s="156" t="e">
        <f t="shared" si="10"/>
        <v>#DIV/0!</v>
      </c>
      <c r="F103" s="156" t="e">
        <f t="shared" si="10"/>
        <v>#DIV/0!</v>
      </c>
      <c r="G103" s="158" t="e">
        <f t="shared" si="10"/>
        <v>#DIV/0!</v>
      </c>
      <c r="H103" s="158" t="e">
        <f t="shared" si="10"/>
        <v>#DIV/0!</v>
      </c>
      <c r="I103" s="158" t="e">
        <f t="shared" si="10"/>
        <v>#DIV/0!</v>
      </c>
      <c r="J103" s="62"/>
      <c r="K103" s="62"/>
      <c r="L103" s="165"/>
    </row>
    <row r="104" spans="2:12" x14ac:dyDescent="0.25">
      <c r="B104" s="244"/>
      <c r="C104" s="62"/>
      <c r="D104" s="62"/>
      <c r="E104" s="62"/>
      <c r="F104" s="62"/>
      <c r="G104" s="62"/>
      <c r="H104" s="62"/>
      <c r="I104" s="62"/>
      <c r="J104" s="62"/>
      <c r="K104" s="62"/>
      <c r="L104" s="165"/>
    </row>
    <row r="105" spans="2:12" x14ac:dyDescent="0.25">
      <c r="B105" s="244"/>
      <c r="C105" s="155" t="s">
        <v>219</v>
      </c>
      <c r="D105" s="53" t="s">
        <v>70</v>
      </c>
      <c r="E105" s="53" t="s">
        <v>150</v>
      </c>
      <c r="F105" s="53" t="s">
        <v>151</v>
      </c>
      <c r="G105" s="62"/>
      <c r="H105" s="62"/>
      <c r="I105" s="62"/>
      <c r="J105" s="62"/>
      <c r="K105" s="62"/>
      <c r="L105" s="165"/>
    </row>
    <row r="106" spans="2:12" x14ac:dyDescent="0.25">
      <c r="B106" s="244"/>
      <c r="C106" s="53" t="s">
        <v>235</v>
      </c>
      <c r="D106" s="286" t="e">
        <f>Planopplysninger!D51-Planlegging!F103</f>
        <v>#DIV/0!</v>
      </c>
      <c r="E106" s="287" t="e">
        <f>IF(D106&gt;0,((Planopplysninger!E51-Planlegging!$G$103)/D106),"")</f>
        <v>#DIV/0!</v>
      </c>
      <c r="F106" s="287" t="e">
        <f>IF(D106&gt;0,((Planopplysninger!$G$17-$H$103)/D106),"")</f>
        <v>#DIV/0!</v>
      </c>
      <c r="G106" s="62"/>
      <c r="H106" s="62"/>
      <c r="I106" s="62"/>
      <c r="J106" s="62"/>
      <c r="K106" s="62"/>
      <c r="L106" s="165"/>
    </row>
    <row r="107" spans="2:12" x14ac:dyDescent="0.25">
      <c r="B107" s="244"/>
      <c r="C107" s="53" t="s">
        <v>236</v>
      </c>
      <c r="D107" s="286" t="e">
        <f>Planopplysninger!D52-Planlegging!F103</f>
        <v>#DIV/0!</v>
      </c>
      <c r="E107" s="287" t="e">
        <f>IF(D107&gt;0,((Planopplysninger!E52-Planlegging!$G$103)/D107),"")</f>
        <v>#DIV/0!</v>
      </c>
      <c r="F107" s="287" t="e">
        <f>IF(D107&gt;0,((Planopplysninger!$G$17-$H$103)/D107),"")</f>
        <v>#DIV/0!</v>
      </c>
      <c r="G107" s="62"/>
      <c r="H107" s="62"/>
      <c r="I107" s="62"/>
      <c r="J107" s="62"/>
      <c r="K107" s="62"/>
      <c r="L107" s="165"/>
    </row>
    <row r="108" spans="2:12" x14ac:dyDescent="0.25">
      <c r="B108" s="244"/>
      <c r="C108" s="53" t="s">
        <v>237</v>
      </c>
      <c r="D108" s="286" t="e">
        <f>Planopplysninger!D53-Planlegging!F103</f>
        <v>#DIV/0!</v>
      </c>
      <c r="E108" s="287" t="e">
        <f>IF(D108&gt;0,((Planopplysninger!E53-Planlegging!$G$103)/D108),"")</f>
        <v>#DIV/0!</v>
      </c>
      <c r="F108" s="287" t="e">
        <f>IF(D108&gt;0,((Planopplysninger!$G$17-$H$103)/D108),"")</f>
        <v>#DIV/0!</v>
      </c>
      <c r="G108" s="62"/>
      <c r="H108" s="62"/>
      <c r="I108" s="62"/>
      <c r="J108" s="62"/>
      <c r="K108" s="62"/>
      <c r="L108" s="165"/>
    </row>
    <row r="109" spans="2:12" x14ac:dyDescent="0.25">
      <c r="B109" s="244"/>
      <c r="C109" s="53" t="s">
        <v>238</v>
      </c>
      <c r="D109" s="286" t="e">
        <f>Planopplysninger!D54-Planlegging!F103</f>
        <v>#DIV/0!</v>
      </c>
      <c r="E109" s="287" t="e">
        <f>IF(D109&gt;0,((Planopplysninger!E54-Planlegging!$G$103)/D109),"")</f>
        <v>#DIV/0!</v>
      </c>
      <c r="F109" s="287" t="e">
        <f>IF(D109&gt;0,((Planopplysninger!$G$17-$H$103)/D109),"")</f>
        <v>#DIV/0!</v>
      </c>
      <c r="G109" s="62"/>
      <c r="H109" s="62"/>
      <c r="I109" s="62"/>
      <c r="J109" s="62"/>
      <c r="K109" s="62"/>
      <c r="L109" s="165"/>
    </row>
    <row r="110" spans="2:12" x14ac:dyDescent="0.25">
      <c r="B110" s="244"/>
      <c r="C110" s="62"/>
      <c r="D110" s="62"/>
      <c r="E110" s="62"/>
      <c r="F110" s="62"/>
      <c r="G110" s="62"/>
      <c r="H110" s="62"/>
      <c r="I110" s="62"/>
      <c r="J110" s="62"/>
      <c r="K110" s="62"/>
      <c r="L110" s="165"/>
    </row>
    <row r="111" spans="2:12" x14ac:dyDescent="0.25">
      <c r="B111" s="244"/>
      <c r="C111" s="177" t="s">
        <v>208</v>
      </c>
      <c r="D111" s="62"/>
      <c r="E111" s="62"/>
      <c r="F111" s="62"/>
      <c r="G111" s="62"/>
      <c r="H111" s="62"/>
      <c r="I111" s="62"/>
      <c r="J111" s="62"/>
      <c r="K111" s="62"/>
      <c r="L111" s="165"/>
    </row>
    <row r="112" spans="2:12" x14ac:dyDescent="0.25">
      <c r="B112" s="244"/>
      <c r="C112" s="160" t="str">
        <f>C97</f>
        <v xml:space="preserve">Formel Sau FK Agri </v>
      </c>
      <c r="D112" s="53" t="s">
        <v>63</v>
      </c>
      <c r="E112" s="53" t="s">
        <v>209</v>
      </c>
      <c r="F112" s="62"/>
      <c r="G112" s="62"/>
      <c r="H112" s="62"/>
      <c r="I112" s="62"/>
      <c r="J112" s="62"/>
      <c r="K112" s="62"/>
      <c r="L112" s="165"/>
    </row>
    <row r="113" spans="2:12" x14ac:dyDescent="0.25">
      <c r="B113" s="244"/>
      <c r="C113" s="160" t="s">
        <v>239</v>
      </c>
      <c r="D113" s="187" t="e">
        <f>IF(D106&gt;0,((D106/$F$97))/$D$97,"0")</f>
        <v>#DIV/0!</v>
      </c>
      <c r="E113" s="288" t="e">
        <f>((D113*$D$97)*$E$97+$I$103)/(($D$103+(D113*$D$97))*1000)</f>
        <v>#DIV/0!</v>
      </c>
      <c r="F113" s="62"/>
      <c r="G113" s="62"/>
      <c r="H113" s="62"/>
      <c r="I113" s="62"/>
      <c r="J113" s="62"/>
      <c r="K113" s="62"/>
      <c r="L113" s="165"/>
    </row>
    <row r="114" spans="2:12" x14ac:dyDescent="0.25">
      <c r="B114" s="244"/>
      <c r="C114" s="53" t="s">
        <v>240</v>
      </c>
      <c r="D114" s="187" t="e">
        <f>IF(D107&gt;0,((D107/$F$97))/$D$97,"0")</f>
        <v>#DIV/0!</v>
      </c>
      <c r="E114" s="288" t="e">
        <f>((D114*$D$97)*$E$97+$I$103)/(($D$103+(D114*$D$97))*1000)</f>
        <v>#DIV/0!</v>
      </c>
      <c r="F114" s="62"/>
      <c r="G114" s="62"/>
      <c r="H114" s="62"/>
      <c r="I114" s="62"/>
      <c r="J114" s="62"/>
      <c r="K114" s="62"/>
      <c r="L114" s="165"/>
    </row>
    <row r="115" spans="2:12" x14ac:dyDescent="0.25">
      <c r="B115" s="244"/>
      <c r="C115" s="53" t="s">
        <v>241</v>
      </c>
      <c r="D115" s="187" t="e">
        <f>IF(D108&gt;0,((D108/$F$97))/$D$97,"0")</f>
        <v>#DIV/0!</v>
      </c>
      <c r="E115" s="288" t="e">
        <f>((D115*$D$97)*$E$97+$I$103)/(($D$103+(D115*$D$97))*1000)</f>
        <v>#DIV/0!</v>
      </c>
      <c r="F115" s="62"/>
      <c r="G115" s="62"/>
      <c r="H115" s="62"/>
      <c r="I115" s="62"/>
      <c r="J115" s="62"/>
      <c r="K115" s="62"/>
      <c r="L115" s="165"/>
    </row>
    <row r="116" spans="2:12" ht="15.75" thickBot="1" x14ac:dyDescent="0.3">
      <c r="B116" s="253"/>
      <c r="C116" s="188" t="s">
        <v>242</v>
      </c>
      <c r="D116" s="189" t="e">
        <f>IF(D109&gt;0,((D109/$F$97))/$D$97,"0")</f>
        <v>#DIV/0!</v>
      </c>
      <c r="E116" s="289" t="e">
        <f>((D116*$D$97)*$E$97+$I$103)/(($D$103+(D116*$D$97))*1000)</f>
        <v>#DIV/0!</v>
      </c>
      <c r="F116" s="254"/>
      <c r="G116" s="254"/>
      <c r="H116" s="254"/>
      <c r="I116" s="254"/>
      <c r="J116" s="254"/>
      <c r="K116" s="254"/>
      <c r="L116" s="165"/>
    </row>
    <row r="117" spans="2:12" ht="16.5" thickTop="1" thickBot="1" x14ac:dyDescent="0.3">
      <c r="D117" s="46"/>
      <c r="E117" s="48"/>
    </row>
    <row r="118" spans="2:12" ht="29.25" thickTop="1" x14ac:dyDescent="0.45">
      <c r="B118" s="270"/>
      <c r="C118" s="480" t="s">
        <v>56</v>
      </c>
      <c r="D118" s="200" t="s">
        <v>234</v>
      </c>
      <c r="E118" s="241"/>
      <c r="F118" s="241"/>
      <c r="G118" s="241"/>
      <c r="H118" s="241"/>
      <c r="I118" s="241"/>
      <c r="J118" s="241"/>
      <c r="K118" s="241"/>
      <c r="L118" s="165"/>
    </row>
    <row r="119" spans="2:12" x14ac:dyDescent="0.25">
      <c r="B119" s="194" t="s">
        <v>198</v>
      </c>
      <c r="C119" s="479">
        <f>Planopplysninger!B58</f>
        <v>45180</v>
      </c>
      <c r="D119" s="53">
        <f>C120-C119</f>
        <v>24</v>
      </c>
      <c r="E119" s="62"/>
      <c r="F119" s="62"/>
      <c r="G119" s="62"/>
      <c r="H119" s="62"/>
      <c r="I119" s="62"/>
      <c r="J119" s="62"/>
      <c r="K119" s="62"/>
      <c r="L119" s="165"/>
    </row>
    <row r="120" spans="2:12" x14ac:dyDescent="0.25">
      <c r="B120" s="195" t="s">
        <v>198</v>
      </c>
      <c r="C120" s="174">
        <f>Planopplysninger!C58</f>
        <v>45204</v>
      </c>
      <c r="D120" s="245"/>
      <c r="E120" s="81"/>
      <c r="F120" s="53" t="s">
        <v>135</v>
      </c>
      <c r="G120" s="81"/>
      <c r="H120" s="246"/>
      <c r="I120" s="28" t="s">
        <v>214</v>
      </c>
      <c r="J120" s="62"/>
      <c r="K120" s="62"/>
      <c r="L120" s="165"/>
    </row>
    <row r="121" spans="2:12" x14ac:dyDescent="0.25">
      <c r="B121" s="244"/>
      <c r="C121" s="152" t="s">
        <v>200</v>
      </c>
      <c r="D121" t="s">
        <v>68</v>
      </c>
      <c r="E121" t="s">
        <v>69</v>
      </c>
      <c r="F121" t="s">
        <v>19</v>
      </c>
      <c r="G121" t="s">
        <v>71</v>
      </c>
      <c r="H121" t="s">
        <v>21</v>
      </c>
      <c r="I121" s="30" t="s">
        <v>215</v>
      </c>
      <c r="J121" s="69" t="s">
        <v>202</v>
      </c>
      <c r="K121" s="26" t="s">
        <v>203</v>
      </c>
      <c r="L121" s="165"/>
    </row>
    <row r="122" spans="2:12" x14ac:dyDescent="0.25">
      <c r="B122" s="323">
        <v>5</v>
      </c>
      <c r="C122" s="150">
        <f>IF($B$122=1,'Aktuelle fôrslag'!$J$3,IF($B$122=2,'Aktuelle fôrslag'!$J$4,IF($B$122=3,'Aktuelle fôrslag'!$J$5,IF($B$122=4,'Aktuelle fôrslag'!$J$6,IF($B$122=5,'Aktuelle fôrslag'!$J$7,IF($B$122=6,'Aktuelle fôrslag'!$J$8))))))</f>
        <v>0</v>
      </c>
      <c r="D122" s="150">
        <f>IF($B$122=1,'Aktuelle fôrslag'!$K$3,IF($B$122=2,'Aktuelle fôrslag'!$K$4,IF($B$122=3,'Aktuelle fôrslag'!$K$5,IF($B$122=4,'Aktuelle fôrslag'!$K$6,IF($B$122=5,'Aktuelle fôrslag'!$K$7,IF($B$122=6,'Aktuelle fôrslag'!$K$8))))))</f>
        <v>0</v>
      </c>
      <c r="E122" s="151">
        <f>IF($B$122=1,'Aktuelle fôrslag'!$L$3,IF($B$122=2,'Aktuelle fôrslag'!$L$4,IF($B$122=3,'Aktuelle fôrslag'!$L$5,IF($B$122=4,'Aktuelle fôrslag'!$L$6,IF($B$122=5,'Aktuelle fôrslag'!$L$7,IF($B$122=6,'Aktuelle fôrslag'!$L$8))))))</f>
        <v>0</v>
      </c>
      <c r="F122" s="186">
        <f>IF($B$122=1,'Aktuelle fôrslag'!$M$3,IF($B$122=2,'Aktuelle fôrslag'!$M$4,IF($B$122=3,'Aktuelle fôrslag'!$M$5,IF($B$122=4,'Aktuelle fôrslag'!$M$6,IF($B$122=5,'Aktuelle fôrslag'!$M$7,IF($B$122=6,'Aktuelle fôrslag'!$M$8))))))</f>
        <v>0</v>
      </c>
      <c r="G122" s="151">
        <f>IF($B$122=1,'Aktuelle fôrslag'!$N$3,IF($B$122=2,'Aktuelle fôrslag'!$N$4,IF($B$122=3,'Aktuelle fôrslag'!$N$5,IF($B$122=4,'Aktuelle fôrslag'!$N$6,IF($B$122=5,'Aktuelle fôrslag'!$N$7,IF($B$122=6,'Aktuelle fôrslag'!$N$8))))))</f>
        <v>23.323499999999999</v>
      </c>
      <c r="H122" s="151">
        <f>IF($B$122=1,'Aktuelle fôrslag'!$O$3,IF($B$122=2,'Aktuelle fôrslag'!$O$4,IF($B$122=3,'Aktuelle fôrslag'!$O$5,IF($B$122=4,'Aktuelle fôrslag'!$O$6,IF($B$122=5,'Aktuelle fôrslag'!$O$7,IF($B$122=6,'Aktuelle fôrslag'!$O$8))))))</f>
        <v>-144.6</v>
      </c>
      <c r="I122" s="151">
        <f>IF($B$122=1,'Aktuelle fôrslag'!$Q$3,IF($B$122=2,'Aktuelle fôrslag'!$Q$4,IF($B$122=3,'Aktuelle fôrslag'!$Q$5,IF($B$122=4,'Aktuelle fôrslag'!$Q$6,IF($B$122=5,'Aktuelle fôrslag'!$Q$7,IF($B$122=6,'Aktuelle fôrslag'!$Q$8))))))</f>
        <v>0</v>
      </c>
      <c r="J122" s="316">
        <v>1</v>
      </c>
      <c r="K122" s="190">
        <f>(((14.4*F122)-2))*J122</f>
        <v>-2</v>
      </c>
      <c r="L122" s="165"/>
    </row>
    <row r="123" spans="2:12" x14ac:dyDescent="0.25">
      <c r="B123" s="323">
        <v>6</v>
      </c>
      <c r="C123" s="226" t="str">
        <f>IF($B$123=1,'Aktuelle fôrslag'!$J$3,IF($B$123=2,'Aktuelle fôrslag'!$J$4,IF($B$123=3,'Aktuelle fôrslag'!$J$5,IF($B$123=4,'Aktuelle fôrslag'!$J$6,IF($B$123=5,'Aktuelle fôrslag'!$J$7,IF($B$123=6,'Aktuelle fôrslag'!$J$8))))))</f>
        <v>Ingen grovfôr nr 2</v>
      </c>
      <c r="D123" s="150">
        <f>IF($B$123=1,'Aktuelle fôrslag'!$K$3,IF($B$123=2,'Aktuelle fôrslag'!$K$4,IF($B$93=3,'Aktuelle fôrslag'!$K$5,IF($B$123=4,'Aktuelle fôrslag'!$K$6,IF($B$123=5,'Aktuelle fôrslag'!$K$7,IF($B$123=6,'Aktuelle fôrslag'!$K$8))))))</f>
        <v>0</v>
      </c>
      <c r="E123" s="151">
        <f>IF($B$123=1,'Aktuelle fôrslag'!$L$3,IF($B$123=2,'Aktuelle fôrslag'!$L$4,IF($B$123=3,'Aktuelle fôrslag'!$L$5,IF($B$123=4,'Aktuelle fôrslag'!$L$6,IF($B$123=5,'Aktuelle fôrslag'!$L$7,IF($B$123=6,'Aktuelle fôrslag'!$L$8))))))</f>
        <v>0</v>
      </c>
      <c r="F123" s="186">
        <f>IF($B$123=1,'Aktuelle fôrslag'!$M$3,IF($B$123=2,'Aktuelle fôrslag'!$M$4,IF($B$123=3,'Aktuelle fôrslag'!$M$5,IF($B$123=4,'Aktuelle fôrslag'!$M$6,IF($B$123=5,'Aktuelle fôrslag'!$M$7,IF($B$123=6,'Aktuelle fôrslag'!$M$8))))))</f>
        <v>0</v>
      </c>
      <c r="G123" s="151">
        <f>IF($B$123=1,'Aktuelle fôrslag'!$N$3,IF($B$123=2,'Aktuelle fôrslag'!$N$4,IF($B$123=3,'Aktuelle fôrslag'!$N$5,IF($B$123=4,'Aktuelle fôrslag'!$N$6,IF($B$123=5,'Aktuelle fôrslag'!$N$7,IF($B$123=6,'Aktuelle fôrslag'!$N$8))))))</f>
        <v>0</v>
      </c>
      <c r="H123" s="151">
        <f>IF($B$123=1,'Aktuelle fôrslag'!$O$3,IF($B$123=2,'Aktuelle fôrslag'!$O$4,IF($B$1195=3,'Aktuelle fôrslag'!$O$5,IF($B$123=4,'Aktuelle fôrslag'!$O$6,IF($B$123=5,'Aktuelle fôrslag'!$O$7,IF($B$123=6,'Aktuelle fôrslag'!$O$8))))))</f>
        <v>0</v>
      </c>
      <c r="I123" s="151">
        <f>IF($B$123=1,'Aktuelle fôrslag'!$Q$3,IF($B$123=2,'Aktuelle fôrslag'!$Q$4,IF($B$123=3,'Aktuelle fôrslag'!$Q$5,IF($B$123=4,'Aktuelle fôrslag'!$Q$6,IF($B$123=5,'Aktuelle fôrslag'!$Q$7,IF($B$123=6,'Aktuelle fôrslag'!$Q$8))))))</f>
        <v>1</v>
      </c>
      <c r="J123" s="62"/>
      <c r="K123" s="62"/>
      <c r="L123" s="165"/>
    </row>
    <row r="124" spans="2:12" x14ac:dyDescent="0.25">
      <c r="B124" s="272"/>
      <c r="C124" s="153" t="s">
        <v>204</v>
      </c>
      <c r="D124" s="196"/>
      <c r="E124" s="321">
        <v>1</v>
      </c>
      <c r="F124" s="271"/>
      <c r="G124" s="257"/>
      <c r="H124" s="257"/>
      <c r="I124" s="62"/>
      <c r="J124" s="62"/>
      <c r="K124" s="62"/>
      <c r="L124" s="165"/>
    </row>
    <row r="125" spans="2:12" x14ac:dyDescent="0.25">
      <c r="B125" s="272"/>
      <c r="C125" s="62"/>
      <c r="D125" s="62"/>
      <c r="E125" s="62"/>
      <c r="F125" s="62"/>
      <c r="G125" s="62"/>
      <c r="H125" s="62"/>
      <c r="I125" s="62"/>
      <c r="J125" s="62"/>
      <c r="K125" s="62"/>
      <c r="L125" s="165"/>
    </row>
    <row r="126" spans="2:12" x14ac:dyDescent="0.25">
      <c r="B126" s="272"/>
      <c r="C126" s="53" t="s">
        <v>147</v>
      </c>
      <c r="D126" s="149" t="s">
        <v>68</v>
      </c>
      <c r="E126" s="149" t="s">
        <v>148</v>
      </c>
      <c r="F126" s="149" t="s">
        <v>70</v>
      </c>
      <c r="G126" s="149" t="s">
        <v>71</v>
      </c>
      <c r="H126" s="149" t="s">
        <v>21</v>
      </c>
      <c r="I126" s="62"/>
      <c r="J126" s="62"/>
      <c r="K126" s="62"/>
      <c r="L126" s="165"/>
    </row>
    <row r="127" spans="2:12" x14ac:dyDescent="0.25">
      <c r="B127" s="323">
        <v>7</v>
      </c>
      <c r="C127" s="145" t="str">
        <f>IF($B$127=1,'Aktuelle fôrslag'!$B$26,IF($B$127=2,'Aktuelle fôrslag'!$B$27,IF($B$127=3,'Aktuelle fôrslag'!$B$28,IF($B$127=4,'Aktuelle fôrslag'!$B$29,IF($B$127=5,'Aktuelle fôrslag'!$B$30,IF($B$127=6,'Aktuelle fôrslag'!$B$31,IF($B$127=7,'Aktuelle fôrslag'!$B$32,IF($B$127=8,'Aktuelle fôrslag'!$B$33,IF($B$127=9,'Aktuelle fôrslag'!$B$34,IF($B$127=10,'Aktuelle fôrslag'!$B$35,IF($B$127=11,'Aktuelle fôrslag'!$B$36,IF($B$127=12,'Aktuelle fôrslag'!$B$37,IF($B$127=13,'Aktuelle fôrslag'!$B$38,IF($B$97=14,'Aktuelle fôrslag'!$B$39,IF($B$127=15,'Aktuelle fôrslag'!$B$40,IF($B$127=16,'Aktuelle fôrslag'!$B$41,IF($B$127=17,'Aktuelle fôrslag'!$B$42,IF($B$127=18,'Aktuelle fôrslag'!$B$43,IF($B$127=19,'Aktuelle fôrslag'!$B$44,IF($B$127=20,'Aktuelle fôrslag'!$B$45,IF($B$127=21,'Aktuelle fôrslag'!$B$46,IF($B$127=22,'Aktuelle fôrslag'!$B$47,'Aktuelle fôrslag'!$B$48))))))))))))))))))))))</f>
        <v>Formel Lam FK Agri</v>
      </c>
      <c r="D127" s="146">
        <f>IF($B$127=1,'Aktuelle fôrslag'!$C$26,IF($B$127=2,'Aktuelle fôrslag'!$C$27,IF($B$127=3,'Aktuelle fôrslag'!$C$28,IF($B$127=4,'Aktuelle fôrslag'!$C$29,IF($B$127=5,'Aktuelle fôrslag'!$C$30,IF($B$127=6,'Aktuelle fôrslag'!$C$31,IF($B$127=7,'Aktuelle fôrslag'!$C$32,IF($B$127=8,'Aktuelle fôrslag'!$C$33,IF($B$127=9,'Aktuelle fôrslag'!$C$34,IF($B$127=10,'Aktuelle fôrslag'!$C$35,IF($B$127=11,'Aktuelle fôrslag'!$C$36,IF($B$127=12,'Aktuelle fôrslag'!$C$37,IF($B$127=13,'Aktuelle fôrslag'!$C$38,IF($B$97=14,'Aktuelle fôrslag'!$C$39,IF($B$127=15,'Aktuelle fôrslag'!$C$40,IF($B$127=16,'Aktuelle fôrslag'!$C$41,IF($B$127=17,'Aktuelle fôrslag'!$C$42,IF($B$127=18,'Aktuelle fôrslag'!$C$43,IF($B$127=19,'Aktuelle fôrslag'!$C$44,IF($B$127=20,'Aktuelle fôrslag'!$C$45,IF($B$127=21,'Aktuelle fôrslag'!$C$46,'Aktuelle fôrslag'!$C$48)))))))))))))))))))))</f>
        <v>0.88</v>
      </c>
      <c r="E127" s="147">
        <f>IF($B$127=1,'Aktuelle fôrslag'!$D$26,IF($B$127=2,'Aktuelle fôrslag'!$D$27,IF($B$127=3,'Aktuelle fôrslag'!$D$28,IF($B$127=4,'Aktuelle fôrslag'!$D$29,IF($B$127=5,'Aktuelle fôrslag'!$D$30,IF($B$127=6,'Aktuelle fôrslag'!$D$31,IF($B$127=7,'Aktuelle fôrslag'!$D$32,IF($B$127=8,'Aktuelle fôrslag'!$D$33,IF($B$127=9,'Aktuelle fôrslag'!$D$34,IF($B$127=10,'Aktuelle fôrslag'!$D$35,IF($B$127=11,'Aktuelle fôrslag'!$D$36,IF($B$127=12,'Aktuelle fôrslag'!$D$37,IF($B$127=13,'Aktuelle fôrslag'!$D$38,IF($B$127=14,'Aktuelle fôrslag'!$D$39,IF($B$127=15,'Aktuelle fôrslag'!$D$40,IF($B$127=16,'Aktuelle fôrslag'!$D$41,IF($B$127=17,'Aktuelle fôrslag'!$D$42,IF($B$127=18,'Aktuelle fôrslag'!$D$43,IF($B$127=19,'Aktuelle fôrslag'!$D$44,IF($B$127=20,'Aktuelle fôrslag'!$D$45,IF($B$127=21,'Aktuelle fôrslag'!$D$46,IF($B$127=22,'Aktuelle fôrslag'!$D$47,'Aktuelle fôrslag'!$D$48))))))))))))))))))))))</f>
        <v>270</v>
      </c>
      <c r="F127" s="148">
        <f>IF($B$127=1,'Aktuelle fôrslag'!$E$26,IF($B$127=2,'Aktuelle fôrslag'!$E$27,IF($B$127=3,'Aktuelle fôrslag'!$E$28,IF($B$127=4,'Aktuelle fôrslag'!$E$29,IF($B$127=5,'Aktuelle fôrslag'!$E$30,IF($B$127=6,'Aktuelle fôrslag'!$E$31,IF($B$127=7,'Aktuelle fôrslag'!$E$32,IF($B$127=8,'Aktuelle fôrslag'!$E$33,IF($B$127=9,'Aktuelle fôrslag'!$E$34,IF($B$127=10,'Aktuelle fôrslag'!$E$35,IF($B$127=11,'Aktuelle fôrslag'!$E$36,IF($B$127=12,'Aktuelle fôrslag'!$E$37,IF($B$127=13,'Aktuelle fôrslag'!$E$38,IF($B$127=14,'Aktuelle fôrslag'!$E$39,IF($B$127=15,'Aktuelle fôrslag'!$E$40,IF($B$127=16,'Aktuelle fôrslag'!$E$41,IF($B$127=17,'Aktuelle fôrslag'!$E$42,IF($B$127=18,'Aktuelle fôrslag'!$E$43,IF($B$127=19,'Aktuelle fôrslag'!$E$44,IF($B$127=20,'Aktuelle fôrslag'!$E$45,IF($B$127=21,'Aktuelle fôrslag'!$E$46,IF($B$127=22,'Aktuelle fôrslag'!$E$47,'Aktuelle fôrslag'!$E$48))))))))))))))))))))))</f>
        <v>1.0113636363636365</v>
      </c>
      <c r="G127" s="147">
        <f>IF($B$127=1,'Aktuelle fôrslag'!$F$26,IF($B$127=2,'Aktuelle fôrslag'!$F$27,IF($B$127=3,'Aktuelle fôrslag'!$F$28,IF($B$127=4,'Aktuelle fôrslag'!$F$29,IF($B$127=5,'Aktuelle fôrslag'!$F$30,IF($B$127=6,'Aktuelle fôrslag'!$F$31,IF($B$127=7,'Aktuelle fôrslag'!$F$32,IF($B$127=8,'Aktuelle fôrslag'!$F$33,IF($B$127=9,'Aktuelle fôrslag'!$F$34,IF($B$127=10,'Aktuelle fôrslag'!$F$35,IF($B$127=11,'Aktuelle fôrslag'!$F$36,IF($B$127=12,'Aktuelle fôrslag'!$F$37,IF($B$127=13,'Aktuelle fôrslag'!$F$38,IF($B$127=14,'Aktuelle fôrslag'!$F$39,IF($B$127=15,'Aktuelle fôrslag'!$F$40,IF($B$127=16,'Aktuelle fôrslag'!$F$41,IF($B$127=17,'Aktuelle fôrslag'!$F$42,IF($B$127=18,'Aktuelle fôrslag'!$F$43,IF($B$127=19,'Aktuelle fôrslag'!$F$44,IF($B$127=20,'Aktuelle fôrslag'!$F$45,IF($B$127=21,'Aktuelle fôrslag'!$F$46,IF($B$127=22,'Aktuelle fôrslag'!$F$47,'Aktuelle fôrslag'!$F$48))))))))))))))))))))))</f>
        <v>107.20454545454545</v>
      </c>
      <c r="H127" s="147">
        <f>IF($B$127=1,'Aktuelle fôrslag'!$G$26,IF($B$127=2,'Aktuelle fôrslag'!$G$27,IF($B$127=3,'Aktuelle fôrslag'!$G$28,IF($B$127=4,'Aktuelle fôrslag'!$G$29,IF($B$127=5,'Aktuelle fôrslag'!$G$30,IF($B$127=6,'Aktuelle fôrslag'!$G$31,IF($B$127=7,'Aktuelle fôrslag'!$G$32,IF($B$127=8,'Aktuelle fôrslag'!$G$33,IF($B$127=9,'Aktuelle fôrslag'!$G$34,IF($B$127=10,'Aktuelle fôrslag'!$G$35,IF($B$127=11,'Aktuelle fôrslag'!$G$36,IF($B$127=12,'Aktuelle fôrslag'!$G$37,IF($B$127=13,'Aktuelle fôrslag'!$G$38,IF($B$127=14,'Aktuelle fôrslag'!$G$39,IF($B$127=15,'Aktuelle fôrslag'!$G$40,IF($B$127=16,'Aktuelle fôrslag'!$G$41,IF($B$127=17,'Aktuelle fôrslag'!$G$42,IF($B$127=18,'Aktuelle fôrslag'!$G$43,IF($B$127=19,'Aktuelle fôrslag'!$G$44,IF($B$127=20,'Aktuelle fôrslag'!$G$45,IF($B$127=21,'Aktuelle fôrslag'!$G$46,IF($B$127=22,'Aktuelle fôrslag'!$G$47,'Aktuelle fôrslag'!$G$48))))))))))))))))))))))</f>
        <v>15.170454545454545</v>
      </c>
      <c r="I127" s="62"/>
      <c r="J127" s="62"/>
      <c r="K127" s="62"/>
      <c r="L127" s="165"/>
    </row>
    <row r="128" spans="2:12" x14ac:dyDescent="0.25">
      <c r="B128" s="244"/>
      <c r="C128" s="62"/>
      <c r="D128" s="62"/>
      <c r="E128" s="62"/>
      <c r="F128" s="62"/>
      <c r="G128" s="62"/>
      <c r="H128" s="62"/>
      <c r="I128" s="62"/>
      <c r="J128" s="62"/>
      <c r="K128" s="62"/>
      <c r="L128" s="165"/>
    </row>
    <row r="129" spans="2:12" x14ac:dyDescent="0.25">
      <c r="B129" s="244"/>
      <c r="C129" s="252"/>
      <c r="D129" s="177" t="s">
        <v>205</v>
      </c>
      <c r="E129" s="177" t="s">
        <v>206</v>
      </c>
      <c r="F129" s="177" t="s">
        <v>70</v>
      </c>
      <c r="G129" s="177" t="s">
        <v>20</v>
      </c>
      <c r="H129" s="177" t="s">
        <v>21</v>
      </c>
      <c r="I129" s="177" t="s">
        <v>69</v>
      </c>
      <c r="J129" s="62"/>
      <c r="K129" s="62"/>
      <c r="L129" s="165"/>
    </row>
    <row r="130" spans="2:12" x14ac:dyDescent="0.25">
      <c r="B130" s="244"/>
      <c r="C130" s="160">
        <f>C122</f>
        <v>0</v>
      </c>
      <c r="D130" s="157" t="e">
        <f>((((Planopplysninger!B60+Planopplysninger!C60)/2)*K122)/E122)-(D131*E124)</f>
        <v>#DIV/0!</v>
      </c>
      <c r="E130" s="157" t="e">
        <f>D130/D122</f>
        <v>#DIV/0!</v>
      </c>
      <c r="F130" s="157" t="e">
        <f>D130*F122</f>
        <v>#DIV/0!</v>
      </c>
      <c r="G130" s="157" t="e">
        <f>G122*D130</f>
        <v>#DIV/0!</v>
      </c>
      <c r="H130" s="157" t="e">
        <f>D130*H122</f>
        <v>#DIV/0!</v>
      </c>
      <c r="I130" s="158" t="e">
        <f>D130*E122</f>
        <v>#DIV/0!</v>
      </c>
      <c r="J130" s="62"/>
      <c r="K130" s="62"/>
      <c r="L130" s="165"/>
    </row>
    <row r="131" spans="2:12" x14ac:dyDescent="0.25">
      <c r="B131" s="244"/>
      <c r="C131" s="53" t="str">
        <f>C123</f>
        <v>Ingen grovfôr nr 2</v>
      </c>
      <c r="D131" s="157">
        <f>E131*D123</f>
        <v>0</v>
      </c>
      <c r="E131" s="322">
        <v>0</v>
      </c>
      <c r="F131" s="157">
        <f>D131*F123</f>
        <v>0</v>
      </c>
      <c r="G131" s="53">
        <f>D131*G123</f>
        <v>0</v>
      </c>
      <c r="H131" s="157">
        <f>D131*H123</f>
        <v>0</v>
      </c>
      <c r="I131" s="158">
        <f>D131*E123</f>
        <v>0</v>
      </c>
      <c r="J131" s="62"/>
      <c r="K131" s="62"/>
      <c r="L131" s="165"/>
    </row>
    <row r="132" spans="2:12" x14ac:dyDescent="0.25">
      <c r="B132" s="244"/>
      <c r="C132" s="53" t="s">
        <v>207</v>
      </c>
      <c r="D132" s="156" t="e">
        <f t="shared" ref="D132:I132" si="11">D130+D131</f>
        <v>#DIV/0!</v>
      </c>
      <c r="E132" s="156" t="e">
        <f t="shared" si="11"/>
        <v>#DIV/0!</v>
      </c>
      <c r="F132" s="156" t="e">
        <f t="shared" si="11"/>
        <v>#DIV/0!</v>
      </c>
      <c r="G132" s="158" t="e">
        <f t="shared" si="11"/>
        <v>#DIV/0!</v>
      </c>
      <c r="H132" s="158" t="e">
        <f t="shared" si="11"/>
        <v>#DIV/0!</v>
      </c>
      <c r="I132" s="158" t="e">
        <f t="shared" si="11"/>
        <v>#DIV/0!</v>
      </c>
      <c r="J132" s="62"/>
      <c r="K132" s="62"/>
      <c r="L132" s="165"/>
    </row>
    <row r="133" spans="2:12" x14ac:dyDescent="0.25">
      <c r="B133" s="244"/>
      <c r="C133" s="62"/>
      <c r="D133" s="62"/>
      <c r="E133" s="62"/>
      <c r="F133" s="62"/>
      <c r="G133" s="62"/>
      <c r="H133" s="62"/>
      <c r="I133" s="62"/>
      <c r="J133" s="62"/>
      <c r="K133" s="62"/>
      <c r="L133" s="165"/>
    </row>
    <row r="134" spans="2:12" x14ac:dyDescent="0.25">
      <c r="B134" s="244"/>
      <c r="C134" s="58" t="s">
        <v>219</v>
      </c>
      <c r="D134" s="152" t="s">
        <v>70</v>
      </c>
      <c r="E134" s="152" t="s">
        <v>150</v>
      </c>
      <c r="F134" s="152" t="s">
        <v>151</v>
      </c>
      <c r="G134" s="62"/>
      <c r="H134" s="62"/>
      <c r="I134" s="62"/>
      <c r="J134" s="62"/>
      <c r="K134" s="62"/>
      <c r="L134" s="165"/>
    </row>
    <row r="135" spans="2:12" x14ac:dyDescent="0.25">
      <c r="B135" s="244"/>
      <c r="C135" s="62"/>
      <c r="D135" s="290" t="e">
        <f>Planopplysninger!D60-Planlegging!F132</f>
        <v>#DIV/0!</v>
      </c>
      <c r="E135" s="291" t="e">
        <f>IF(D135&gt;0,((Planopplysninger!E60-Planlegging!G132)/D135),"")</f>
        <v>#DIV/0!</v>
      </c>
      <c r="F135" s="291" t="e">
        <f>IF(D135&gt;0,((Planopplysninger!F60-Planlegging!H132)/D135),"")</f>
        <v>#DIV/0!</v>
      </c>
      <c r="G135" s="62"/>
      <c r="H135" s="62"/>
      <c r="I135" s="62"/>
      <c r="J135" s="62"/>
      <c r="K135" s="62"/>
      <c r="L135" s="165"/>
    </row>
    <row r="136" spans="2:12" x14ac:dyDescent="0.25">
      <c r="B136" s="244"/>
      <c r="C136" s="62"/>
      <c r="D136" s="210"/>
      <c r="E136" s="86"/>
      <c r="F136" s="86"/>
      <c r="G136" s="62"/>
      <c r="H136" s="62"/>
      <c r="I136" s="62"/>
      <c r="J136" s="62"/>
      <c r="K136" s="62"/>
      <c r="L136" s="165"/>
    </row>
    <row r="137" spans="2:12" x14ac:dyDescent="0.25">
      <c r="B137" s="244"/>
      <c r="C137" s="177" t="s">
        <v>208</v>
      </c>
      <c r="D137" s="152" t="s">
        <v>63</v>
      </c>
      <c r="E137" s="152" t="s">
        <v>209</v>
      </c>
      <c r="F137" s="62"/>
      <c r="G137" s="62"/>
      <c r="H137" s="62"/>
      <c r="I137" s="62"/>
      <c r="J137" s="62"/>
      <c r="K137" s="62"/>
      <c r="L137" s="165"/>
    </row>
    <row r="138" spans="2:12" ht="15.75" thickBot="1" x14ac:dyDescent="0.3">
      <c r="B138" s="253"/>
      <c r="C138" s="198" t="str">
        <f>C127</f>
        <v>Formel Lam FK Agri</v>
      </c>
      <c r="D138" s="199" t="e">
        <f>IF(D135&gt;0,((D135/F127))/D127,"0")</f>
        <v>#DIV/0!</v>
      </c>
      <c r="E138" s="292" t="e">
        <f>((D138*D127)*E127+I132)/((D132+(D138*D127))*1000)</f>
        <v>#DIV/0!</v>
      </c>
      <c r="F138" s="254"/>
      <c r="G138" s="254"/>
      <c r="H138" s="254"/>
      <c r="I138" s="254"/>
      <c r="J138" s="254"/>
      <c r="K138" s="254"/>
      <c r="L138" s="165"/>
    </row>
    <row r="139" spans="2:12" ht="15.75" thickTop="1" x14ac:dyDescent="0.25"/>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66"/>
  <sheetViews>
    <sheetView workbookViewId="0">
      <selection activeCell="E24" sqref="E24"/>
    </sheetView>
  </sheetViews>
  <sheetFormatPr baseColWidth="10" defaultColWidth="11.42578125" defaultRowHeight="15" x14ac:dyDescent="0.25"/>
  <cols>
    <col min="1" max="1" width="2.7109375" customWidth="1"/>
    <col min="2" max="2" width="12.28515625" customWidth="1"/>
    <col min="3" max="3" width="9.85546875" customWidth="1"/>
    <col min="4" max="4" width="10.5703125" customWidth="1"/>
    <col min="5" max="5" width="10" customWidth="1"/>
    <col min="6" max="6" width="14" customWidth="1"/>
    <col min="7" max="7" width="0.28515625" hidden="1" customWidth="1"/>
    <col min="8" max="8" width="10.85546875" customWidth="1"/>
    <col min="9" max="9" width="13.28515625" customWidth="1"/>
    <col min="10" max="10" width="12.140625" customWidth="1"/>
    <col min="11" max="11" width="12.28515625" customWidth="1"/>
    <col min="12" max="12" width="9.85546875" customWidth="1"/>
    <col min="13" max="13" width="10.5703125" customWidth="1"/>
    <col min="14" max="14" width="2.140625" customWidth="1"/>
  </cols>
  <sheetData>
    <row r="1" spans="1:14" x14ac:dyDescent="0.25">
      <c r="A1" s="201"/>
      <c r="B1" s="202"/>
      <c r="C1" s="202"/>
      <c r="D1" s="202"/>
      <c r="E1" s="202"/>
      <c r="F1" s="202"/>
      <c r="G1" s="203"/>
      <c r="H1" s="62"/>
      <c r="I1" s="62"/>
      <c r="J1" s="62"/>
      <c r="K1" s="62"/>
      <c r="L1" s="62"/>
      <c r="M1" s="62"/>
      <c r="N1" s="62"/>
    </row>
    <row r="2" spans="1:14" ht="26.25" x14ac:dyDescent="0.4">
      <c r="A2" s="204"/>
      <c r="B2" s="69" t="s">
        <v>198</v>
      </c>
      <c r="C2" s="278" t="s">
        <v>243</v>
      </c>
      <c r="D2" s="279"/>
      <c r="E2" s="280"/>
      <c r="F2" s="281"/>
      <c r="G2" s="205"/>
      <c r="H2" s="62"/>
      <c r="I2" s="275" t="str">
        <f>Planopplysninger!B4</f>
        <v>Rådgjevar</v>
      </c>
      <c r="J2" s="276"/>
      <c r="K2" s="62"/>
      <c r="L2" s="62"/>
      <c r="M2" s="62"/>
      <c r="N2" s="62"/>
    </row>
    <row r="3" spans="1:14" ht="21" x14ac:dyDescent="0.35">
      <c r="A3" s="204"/>
      <c r="B3" s="172">
        <f ca="1">TODAY()</f>
        <v>45181</v>
      </c>
      <c r="C3" s="78">
        <f>Planopplysninger!C1</f>
        <v>0</v>
      </c>
      <c r="F3" s="29"/>
      <c r="G3" s="205"/>
      <c r="H3" s="62"/>
      <c r="I3" s="78">
        <f>Planopplysninger!C4</f>
        <v>0</v>
      </c>
      <c r="J3" s="277"/>
      <c r="K3" s="62"/>
      <c r="L3" s="62"/>
      <c r="M3" s="62"/>
      <c r="N3" s="62"/>
    </row>
    <row r="4" spans="1:14" ht="21" x14ac:dyDescent="0.35">
      <c r="A4" s="204"/>
      <c r="B4" s="62"/>
      <c r="C4" s="78">
        <f>Planopplysninger!C2</f>
        <v>0</v>
      </c>
      <c r="F4" s="29"/>
      <c r="G4" s="205"/>
      <c r="H4" s="62"/>
      <c r="I4" s="79" t="str">
        <f>Planopplysninger!D3</f>
        <v xml:space="preserve">Tlf </v>
      </c>
      <c r="J4" s="218">
        <f>Planopplysninger!D4</f>
        <v>0</v>
      </c>
      <c r="K4" s="62"/>
      <c r="L4" s="62"/>
      <c r="M4" s="62"/>
      <c r="N4" s="62"/>
    </row>
    <row r="5" spans="1:14" ht="21" x14ac:dyDescent="0.35">
      <c r="A5" s="204"/>
      <c r="B5" s="62"/>
      <c r="C5" s="79">
        <f>Planopplysninger!C3</f>
        <v>0</v>
      </c>
      <c r="D5" s="31"/>
      <c r="E5" s="31"/>
      <c r="F5" s="47"/>
      <c r="G5" s="205"/>
      <c r="H5" s="62"/>
      <c r="I5" s="62"/>
      <c r="J5" s="62"/>
      <c r="K5" s="62"/>
      <c r="L5" s="62"/>
      <c r="M5" s="62"/>
      <c r="N5" s="62"/>
    </row>
    <row r="6" spans="1:14" ht="21" x14ac:dyDescent="0.35">
      <c r="A6" s="204"/>
      <c r="B6" s="62"/>
      <c r="C6" s="62"/>
      <c r="D6" s="207"/>
      <c r="E6" s="62"/>
      <c r="F6" s="62"/>
      <c r="G6" s="205"/>
      <c r="H6" s="58" t="str">
        <f>Planlegging!C41</f>
        <v>Høgdrektig til lamming</v>
      </c>
      <c r="I6" s="59"/>
      <c r="J6" s="60">
        <f>Planlegging!C42</f>
        <v>45345</v>
      </c>
      <c r="K6" s="61">
        <f>Planlegging!C43</f>
        <v>45401</v>
      </c>
      <c r="L6" s="62"/>
      <c r="M6" s="62"/>
      <c r="N6" s="206"/>
    </row>
    <row r="7" spans="1:14" x14ac:dyDescent="0.25">
      <c r="A7" s="204"/>
      <c r="B7" s="58" t="str">
        <f>Planlegging!C1</f>
        <v>Innsett til høgdrektig</v>
      </c>
      <c r="C7" s="59"/>
      <c r="D7" s="60">
        <f>Planlegging!C2</f>
        <v>45209</v>
      </c>
      <c r="E7" s="61">
        <f>Planlegging!C3</f>
        <v>45345</v>
      </c>
      <c r="F7" s="62"/>
      <c r="G7" s="205"/>
      <c r="H7" s="66" t="str">
        <f>Planlegging!C55</f>
        <v xml:space="preserve">Søye høgdrektig </v>
      </c>
      <c r="J7" t="s">
        <v>244</v>
      </c>
      <c r="K7" s="29" t="s">
        <v>245</v>
      </c>
      <c r="L7" s="62"/>
      <c r="M7" s="62"/>
      <c r="N7" s="206"/>
    </row>
    <row r="8" spans="1:14" x14ac:dyDescent="0.25">
      <c r="A8" s="204"/>
      <c r="B8" s="56" t="str">
        <f>Planlegging!C13</f>
        <v>Søye lavdrektig dårleg hold</v>
      </c>
      <c r="C8" s="57"/>
      <c r="D8" s="29"/>
      <c r="E8" s="62"/>
      <c r="F8" s="62"/>
      <c r="G8" s="205"/>
      <c r="H8" s="45">
        <f>Planlegging!C47</f>
        <v>0</v>
      </c>
      <c r="J8" s="46" t="e">
        <f>Planlegging!E56*(1+Planopplysninger!$F$11)</f>
        <v>#DIV/0!</v>
      </c>
      <c r="K8" s="76" t="e">
        <f>J8*(Planopplysninger!G33+Planopplysninger!G34+Planopplysninger!G35)</f>
        <v>#DIV/0!</v>
      </c>
      <c r="L8" s="62"/>
      <c r="M8" s="62"/>
      <c r="N8" s="206"/>
    </row>
    <row r="9" spans="1:14" x14ac:dyDescent="0.25">
      <c r="A9" s="204"/>
      <c r="B9" s="55" t="s">
        <v>17</v>
      </c>
      <c r="C9" s="31">
        <f>Planopplysninger!D16</f>
        <v>30</v>
      </c>
      <c r="D9" s="47"/>
      <c r="E9" s="27" t="s">
        <v>244</v>
      </c>
      <c r="F9" s="53" t="s">
        <v>245</v>
      </c>
      <c r="G9" s="205"/>
      <c r="H9" s="45" t="str">
        <f>Planlegging!C48</f>
        <v>Ingen grovfôr nr 2</v>
      </c>
      <c r="J9">
        <f>Planlegging!E57</f>
        <v>1</v>
      </c>
      <c r="K9" s="29">
        <f>J9*(Planopplysninger!G33+Planopplysninger!G34+Planopplysninger!G35)</f>
        <v>145</v>
      </c>
      <c r="L9" s="62"/>
      <c r="M9" s="62"/>
      <c r="N9" s="206"/>
    </row>
    <row r="10" spans="1:14" x14ac:dyDescent="0.25">
      <c r="A10" s="204"/>
      <c r="B10" s="54">
        <f>Planlegging!C6</f>
        <v>0</v>
      </c>
      <c r="C10" s="34"/>
      <c r="D10" s="28"/>
      <c r="E10" s="49" t="e">
        <f>Planlegging!E14*(1+Planopplysninger!$F$11)</f>
        <v>#DIV/0!</v>
      </c>
      <c r="F10" s="51" t="e">
        <f>E10*C9</f>
        <v>#DIV/0!</v>
      </c>
      <c r="G10" s="205"/>
      <c r="H10" s="56" t="str">
        <f>Planlegging!C52</f>
        <v xml:space="preserve">Formel Sau FK Agri </v>
      </c>
      <c r="I10" s="57" t="s">
        <v>17</v>
      </c>
      <c r="J10" s="170">
        <f>Planlegging!D66</f>
        <v>45345</v>
      </c>
      <c r="K10" s="170">
        <f>Planlegging!E66</f>
        <v>45359</v>
      </c>
      <c r="L10" s="83">
        <f>Planlegging!F66</f>
        <v>45373</v>
      </c>
      <c r="M10" s="84">
        <f>Planlegging!G66</f>
        <v>45387</v>
      </c>
      <c r="N10" s="206"/>
    </row>
    <row r="11" spans="1:14" x14ac:dyDescent="0.25">
      <c r="A11" s="204"/>
      <c r="B11" s="45" t="str">
        <f>Planlegging!C7</f>
        <v>Ingen grovfôr nr 2</v>
      </c>
      <c r="D11" s="29"/>
      <c r="E11" s="32">
        <f>Planlegging!E15</f>
        <v>0</v>
      </c>
      <c r="F11" s="32">
        <f>E11*C9</f>
        <v>0</v>
      </c>
      <c r="G11" s="205"/>
      <c r="H11" s="45" t="str">
        <f>Planlegging!C62</f>
        <v>1 foster</v>
      </c>
      <c r="I11">
        <f>Planopplysninger!G33</f>
        <v>5</v>
      </c>
      <c r="J11" s="282" t="e">
        <f>Planlegging!D67</f>
        <v>#DIV/0!</v>
      </c>
      <c r="K11" s="282" t="e">
        <f>Planlegging!E67</f>
        <v>#DIV/0!</v>
      </c>
      <c r="L11" s="46" t="e">
        <f>Planlegging!F67</f>
        <v>#DIV/0!</v>
      </c>
      <c r="M11" s="132" t="e">
        <f>Planlegging!G67</f>
        <v>#DIV/0!</v>
      </c>
      <c r="N11" s="206"/>
    </row>
    <row r="12" spans="1:14" x14ac:dyDescent="0.25">
      <c r="A12" s="204"/>
      <c r="B12" s="55" t="str">
        <f>Planlegging!C11</f>
        <v>Formel Sau Intensiv FK Agri</v>
      </c>
      <c r="C12" s="31"/>
      <c r="D12" s="47"/>
      <c r="E12" s="50" t="e">
        <f>Planlegging!F20</f>
        <v>#DIV/0!</v>
      </c>
      <c r="F12" s="52" t="e">
        <f>E12*C9</f>
        <v>#DIV/0!</v>
      </c>
      <c r="G12" s="205"/>
      <c r="H12" s="45" t="str">
        <f>Planlegging!C63</f>
        <v>2 foster</v>
      </c>
      <c r="I12">
        <f>Planopplysninger!G34</f>
        <v>75</v>
      </c>
      <c r="J12" s="282" t="e">
        <f>Planlegging!D68</f>
        <v>#DIV/0!</v>
      </c>
      <c r="K12" s="282" t="e">
        <f>Planlegging!E68</f>
        <v>#DIV/0!</v>
      </c>
      <c r="L12" s="46" t="e">
        <f>Planlegging!F68</f>
        <v>#DIV/0!</v>
      </c>
      <c r="M12" s="132" t="e">
        <f>Planlegging!G68</f>
        <v>#DIV/0!</v>
      </c>
      <c r="N12" s="206"/>
    </row>
    <row r="13" spans="1:14" x14ac:dyDescent="0.25">
      <c r="A13" s="204"/>
      <c r="B13" s="62"/>
      <c r="C13" s="62"/>
      <c r="D13" s="62"/>
      <c r="E13" s="63"/>
      <c r="F13" s="64"/>
      <c r="G13" s="208"/>
      <c r="H13" s="45" t="str">
        <f>Planlegging!C64</f>
        <v>3 og fleire</v>
      </c>
      <c r="I13">
        <f>Planopplysninger!G35</f>
        <v>65</v>
      </c>
      <c r="J13" s="282" t="e">
        <f>Planlegging!D69</f>
        <v>#DIV/0!</v>
      </c>
      <c r="K13" s="282" t="e">
        <f>Planlegging!E69</f>
        <v>#DIV/0!</v>
      </c>
      <c r="L13" s="46" t="e">
        <f>Planlegging!F69</f>
        <v>#DIV/0!</v>
      </c>
      <c r="M13" s="132" t="e">
        <f>Planlegging!G69</f>
        <v>#DIV/0!</v>
      </c>
      <c r="N13" s="206"/>
    </row>
    <row r="14" spans="1:14" x14ac:dyDescent="0.25">
      <c r="A14" s="204"/>
      <c r="B14" s="66" t="str">
        <f>Planlegging!C22</f>
        <v>Søye lavdrektig godt hold</v>
      </c>
      <c r="C14" s="67"/>
      <c r="D14" s="28"/>
      <c r="E14" s="62"/>
      <c r="F14" s="209"/>
      <c r="G14" s="208"/>
      <c r="H14" s="45" t="str">
        <f>Planlegging!C52</f>
        <v xml:space="preserve">Formel Sau FK Agri </v>
      </c>
      <c r="J14" s="170">
        <f>Planlegging!D66</f>
        <v>45345</v>
      </c>
      <c r="K14" s="170">
        <f>Planlegging!E66</f>
        <v>45359</v>
      </c>
      <c r="L14" s="170">
        <f>Planlegging!F66</f>
        <v>45373</v>
      </c>
      <c r="M14" s="82">
        <f>Planlegging!G66</f>
        <v>45387</v>
      </c>
      <c r="N14" s="206"/>
    </row>
    <row r="15" spans="1:14" x14ac:dyDescent="0.25">
      <c r="A15" s="204"/>
      <c r="B15" s="45" t="s">
        <v>17</v>
      </c>
      <c r="C15">
        <f>Planopplysninger!D22</f>
        <v>115</v>
      </c>
      <c r="D15" s="29"/>
      <c r="E15" s="27" t="s">
        <v>244</v>
      </c>
      <c r="F15" s="53" t="s">
        <v>245</v>
      </c>
      <c r="G15" s="208"/>
      <c r="H15" s="55" t="s">
        <v>246</v>
      </c>
      <c r="I15" s="31"/>
      <c r="J15" s="77" t="e">
        <f>$I$11*J11+$I$12*J12+$I$13*J13</f>
        <v>#DIV/0!</v>
      </c>
      <c r="K15" s="77" t="e">
        <f>$I$11*K11+$I$12*K12+$I$13*K13</f>
        <v>#DIV/0!</v>
      </c>
      <c r="L15" s="77" t="e">
        <f>$I$11*L11+$I$12*L12+$I$13*L13</f>
        <v>#DIV/0!</v>
      </c>
      <c r="M15" s="74" t="e">
        <f>$I$11*M11+$I$12*M12+$I$13*M13</f>
        <v>#DIV/0!</v>
      </c>
      <c r="N15" s="206"/>
    </row>
    <row r="16" spans="1:14" x14ac:dyDescent="0.25">
      <c r="A16" s="204"/>
      <c r="B16" s="45">
        <f>Planlegging!C23</f>
        <v>0</v>
      </c>
      <c r="D16" s="29"/>
      <c r="E16" s="65" t="e">
        <f>Planlegging!E23*(1+Planopplysninger!$F$11)</f>
        <v>#DIV/0!</v>
      </c>
      <c r="F16" s="51" t="e">
        <f>E16*C15</f>
        <v>#DIV/0!</v>
      </c>
      <c r="G16" s="208"/>
      <c r="H16" s="62"/>
      <c r="I16" s="62"/>
      <c r="J16" s="86"/>
      <c r="K16" s="86"/>
      <c r="L16" s="86"/>
      <c r="M16" s="86"/>
      <c r="N16" s="206"/>
    </row>
    <row r="17" spans="1:14" x14ac:dyDescent="0.25">
      <c r="A17" s="204"/>
      <c r="B17" s="45" t="str">
        <f>Planlegging!C24</f>
        <v>Ingen grovfôr nr 2</v>
      </c>
      <c r="D17" s="29"/>
      <c r="E17" s="29">
        <f>Planlegging!E24</f>
        <v>0</v>
      </c>
      <c r="F17" s="32">
        <f>E17*C15</f>
        <v>0</v>
      </c>
      <c r="G17" s="208"/>
      <c r="H17" s="66" t="str">
        <f>Planopplysninger!B43</f>
        <v>Påsettlam høgdrektig</v>
      </c>
      <c r="I17" s="34"/>
      <c r="J17" s="34"/>
      <c r="K17" s="28"/>
      <c r="L17" s="62"/>
      <c r="M17" s="62"/>
      <c r="N17" s="206"/>
    </row>
    <row r="18" spans="1:14" x14ac:dyDescent="0.25">
      <c r="A18" s="204"/>
      <c r="B18" s="55" t="str">
        <f>Planlegging!C29</f>
        <v>Formel Sau Intensiv FK Agri</v>
      </c>
      <c r="C18" s="31"/>
      <c r="D18" s="47"/>
      <c r="E18" s="231" t="e">
        <f>Planlegging!F29</f>
        <v>#DIV/0!</v>
      </c>
      <c r="F18" s="197" t="e">
        <f>E18*C15</f>
        <v>#DIV/0!</v>
      </c>
      <c r="G18" s="208"/>
      <c r="H18" s="56" t="s">
        <v>17</v>
      </c>
      <c r="I18" s="57">
        <f>Planopplysninger!C7</f>
        <v>59</v>
      </c>
      <c r="J18" s="57" t="s">
        <v>244</v>
      </c>
      <c r="K18" s="85" t="s">
        <v>245</v>
      </c>
      <c r="L18" s="62"/>
      <c r="M18" s="62"/>
      <c r="N18" s="206"/>
    </row>
    <row r="19" spans="1:14" x14ac:dyDescent="0.25">
      <c r="A19" s="204"/>
      <c r="B19" s="62"/>
      <c r="C19" s="62"/>
      <c r="D19" s="62"/>
      <c r="E19" s="68"/>
      <c r="F19" s="62"/>
      <c r="G19" s="208"/>
      <c r="H19" s="45">
        <f>Planlegging!C47</f>
        <v>0</v>
      </c>
      <c r="J19" s="125" t="e">
        <f>Planlegging!E72*(1+Planopplysninger!$F$11)</f>
        <v>#DIV/0!</v>
      </c>
      <c r="K19" s="126" t="e">
        <f>J19*I18</f>
        <v>#DIV/0!</v>
      </c>
      <c r="L19" s="62"/>
      <c r="M19" s="62"/>
      <c r="N19" s="206"/>
    </row>
    <row r="20" spans="1:14" x14ac:dyDescent="0.25">
      <c r="A20" s="204"/>
      <c r="B20" s="66" t="str">
        <f>Planlegging!C31</f>
        <v>Påsettlam</v>
      </c>
      <c r="C20" s="34"/>
      <c r="D20" s="28"/>
      <c r="E20" s="62"/>
      <c r="F20" s="62"/>
      <c r="G20" s="208"/>
      <c r="H20" s="45" t="str">
        <f>Planlegging!C48</f>
        <v>Ingen grovfôr nr 2</v>
      </c>
      <c r="J20" s="125">
        <f>Planlegging!E73</f>
        <v>0</v>
      </c>
      <c r="K20" s="29">
        <f>J20*I18</f>
        <v>0</v>
      </c>
      <c r="L20" s="62"/>
      <c r="M20" s="62"/>
      <c r="N20" s="206"/>
    </row>
    <row r="21" spans="1:14" x14ac:dyDescent="0.25">
      <c r="A21" s="204"/>
      <c r="B21" s="55" t="s">
        <v>17</v>
      </c>
      <c r="C21" s="31">
        <f>Planopplysninger!D26</f>
        <v>59</v>
      </c>
      <c r="D21" s="47"/>
      <c r="E21" s="53" t="s">
        <v>244</v>
      </c>
      <c r="F21" s="53" t="s">
        <v>245</v>
      </c>
      <c r="G21" s="208"/>
      <c r="H21" s="45" t="str">
        <f>Planlegging!C52</f>
        <v xml:space="preserve">Formel Sau FK Agri </v>
      </c>
      <c r="I21" s="57" t="s">
        <v>17</v>
      </c>
      <c r="J21" s="57" t="s">
        <v>244</v>
      </c>
      <c r="K21" s="85" t="s">
        <v>245</v>
      </c>
      <c r="L21" s="62"/>
      <c r="M21" s="62"/>
      <c r="N21" s="206"/>
    </row>
    <row r="22" spans="1:14" x14ac:dyDescent="0.25">
      <c r="A22" s="204"/>
      <c r="B22" s="54">
        <f>Planlegging!C32</f>
        <v>0</v>
      </c>
      <c r="C22" s="34"/>
      <c r="D22" s="34"/>
      <c r="E22" s="70" t="e">
        <f>Planlegging!E32*(1+Planopplysninger!$F$11)</f>
        <v>#DIV/0!</v>
      </c>
      <c r="F22" s="71" t="e">
        <f>E22*C21</f>
        <v>#DIV/0!</v>
      </c>
      <c r="G22" s="208"/>
      <c r="H22" s="45" t="s">
        <v>247</v>
      </c>
      <c r="I22">
        <f>Planopplysninger!G45</f>
        <v>5</v>
      </c>
      <c r="J22" s="282" t="e">
        <f>Planlegging!F83</f>
        <v>#DIV/0!</v>
      </c>
      <c r="K22" s="126" t="e">
        <f>J22*I22</f>
        <v>#DIV/0!</v>
      </c>
      <c r="L22" s="62"/>
      <c r="M22" s="62"/>
      <c r="N22" s="206"/>
    </row>
    <row r="23" spans="1:14" x14ac:dyDescent="0.25">
      <c r="A23" s="204"/>
      <c r="B23" s="45" t="str">
        <f>Planlegging!C33</f>
        <v>Ingen grovfôr nr 2</v>
      </c>
      <c r="E23">
        <f>Planlegging!E33</f>
        <v>0</v>
      </c>
      <c r="F23" s="29">
        <f>E23*C21</f>
        <v>0</v>
      </c>
      <c r="G23" s="208"/>
      <c r="H23" s="45" t="s">
        <v>224</v>
      </c>
      <c r="I23">
        <f>Planopplysninger!G46</f>
        <v>30</v>
      </c>
      <c r="J23" s="46" t="e">
        <f>Planlegging!F84</f>
        <v>#DIV/0!</v>
      </c>
      <c r="K23" s="126" t="e">
        <f>J23*I23</f>
        <v>#DIV/0!</v>
      </c>
      <c r="L23" s="62"/>
      <c r="M23" s="62"/>
      <c r="N23" s="206"/>
    </row>
    <row r="24" spans="1:14" x14ac:dyDescent="0.25">
      <c r="A24" s="204"/>
      <c r="B24" s="72" t="str">
        <f>Planlegging!C38</f>
        <v>Formel Sau Intensiv FK Agri</v>
      </c>
      <c r="C24" s="31"/>
      <c r="D24" s="31"/>
      <c r="E24" s="73" t="e">
        <f>Planlegging!F38</f>
        <v>#DIV/0!</v>
      </c>
      <c r="F24" s="74" t="e">
        <f>E24*C21</f>
        <v>#DIV/0!</v>
      </c>
      <c r="G24" s="208"/>
      <c r="H24" s="55" t="s">
        <v>248</v>
      </c>
      <c r="I24" s="31">
        <f>Planopplysninger!G47</f>
        <v>24</v>
      </c>
      <c r="J24" s="73" t="e">
        <f>Planlegging!F85</f>
        <v>#DIV/0!</v>
      </c>
      <c r="K24" s="74" t="e">
        <f>J24*I24</f>
        <v>#DIV/0!</v>
      </c>
      <c r="L24" s="62"/>
      <c r="M24" s="62"/>
      <c r="N24" s="206"/>
    </row>
    <row r="25" spans="1:14" x14ac:dyDescent="0.25">
      <c r="A25" s="204"/>
      <c r="B25" s="62"/>
      <c r="C25" s="62"/>
      <c r="D25" s="62"/>
      <c r="E25" s="62"/>
      <c r="F25" s="62"/>
      <c r="G25" s="208"/>
      <c r="H25" s="62"/>
      <c r="I25" s="62"/>
      <c r="J25" s="210"/>
      <c r="K25" s="62"/>
      <c r="L25" s="62"/>
      <c r="M25" s="62"/>
      <c r="N25" s="206"/>
    </row>
    <row r="26" spans="1:14" x14ac:dyDescent="0.25">
      <c r="A26" s="204"/>
      <c r="B26" s="66" t="s">
        <v>249</v>
      </c>
      <c r="C26" s="34"/>
      <c r="D26" s="28"/>
      <c r="E26" s="62"/>
      <c r="F26" s="62"/>
      <c r="G26" s="208"/>
      <c r="H26" s="66" t="s">
        <v>249</v>
      </c>
      <c r="I26" s="34"/>
      <c r="J26" s="28"/>
      <c r="K26" s="62"/>
      <c r="L26" s="62"/>
      <c r="M26" s="62"/>
      <c r="N26" s="206"/>
    </row>
    <row r="27" spans="1:14" x14ac:dyDescent="0.25">
      <c r="A27" s="204"/>
      <c r="B27" s="55" t="s">
        <v>250</v>
      </c>
      <c r="C27" s="31"/>
      <c r="D27" s="31"/>
      <c r="E27" s="26" t="s">
        <v>251</v>
      </c>
      <c r="F27" s="27" t="s">
        <v>252</v>
      </c>
      <c r="G27" s="208"/>
      <c r="H27" s="55" t="s">
        <v>250</v>
      </c>
      <c r="I27" s="31"/>
      <c r="J27" s="31"/>
      <c r="K27" s="26" t="s">
        <v>251</v>
      </c>
      <c r="L27" s="27" t="s">
        <v>252</v>
      </c>
      <c r="M27" s="62"/>
      <c r="N27" s="206"/>
    </row>
    <row r="28" spans="1:14" x14ac:dyDescent="0.25">
      <c r="A28" s="204"/>
      <c r="B28" s="54">
        <f>B10</f>
        <v>0</v>
      </c>
      <c r="C28" s="34"/>
      <c r="D28" s="34"/>
      <c r="E28" s="70" t="e">
        <f>(F10+F16+F22)/Planlegging!I6</f>
        <v>#DIV/0!</v>
      </c>
      <c r="F28" s="75" t="e">
        <f>E28*(E7-D7)</f>
        <v>#DIV/0!</v>
      </c>
      <c r="G28" s="208"/>
      <c r="H28" s="34">
        <f>H8</f>
        <v>0</v>
      </c>
      <c r="I28" s="34"/>
      <c r="J28" s="70"/>
      <c r="K28" s="127" t="e">
        <f>(K8+K19)/Planlegging!I47</f>
        <v>#DIV/0!</v>
      </c>
      <c r="L28" s="128" t="e">
        <f>K28*(K6-J6)</f>
        <v>#DIV/0!</v>
      </c>
      <c r="M28" s="62"/>
      <c r="N28" s="206"/>
    </row>
    <row r="29" spans="1:14" x14ac:dyDescent="0.25">
      <c r="A29" s="204"/>
      <c r="B29" s="45" t="str">
        <f>B11</f>
        <v>Ingen grovfôr nr 2</v>
      </c>
      <c r="E29" s="46">
        <f>(F11+F17+F23)/Planlegging!I7</f>
        <v>0</v>
      </c>
      <c r="F29" s="76">
        <f>E29*(E7-D7)</f>
        <v>0</v>
      </c>
      <c r="G29" s="208"/>
      <c r="H29" t="str">
        <f>H9</f>
        <v>Ingen grovfôr nr 2</v>
      </c>
      <c r="J29" s="46"/>
      <c r="K29" s="46">
        <f>(K9+K20)/Planlegging!I48</f>
        <v>145</v>
      </c>
      <c r="L29" s="167">
        <f>K29*(K6-J6)</f>
        <v>8120</v>
      </c>
      <c r="M29" s="62"/>
      <c r="N29" s="206"/>
    </row>
    <row r="30" spans="1:14" x14ac:dyDescent="0.25">
      <c r="A30" s="204"/>
      <c r="B30" s="69" t="str">
        <f>B12</f>
        <v>Formel Sau Intensiv FK Agri</v>
      </c>
      <c r="C30" s="26"/>
      <c r="D30" s="26"/>
      <c r="E30" s="134" t="e">
        <f>F12+F18+F24</f>
        <v>#DIV/0!</v>
      </c>
      <c r="F30" s="136" t="e">
        <f>E30*(E7-D7)</f>
        <v>#DIV/0!</v>
      </c>
      <c r="G30" s="208"/>
      <c r="H30" s="55" t="str">
        <f>Planlegging!C52</f>
        <v xml:space="preserve">Formel Sau FK Agri </v>
      </c>
      <c r="I30" s="31"/>
      <c r="J30" s="31"/>
      <c r="K30" s="31"/>
      <c r="L30" s="131" t="e">
        <f>(K10-J10)*J15+(L10-K10)*K15+(M10-L10)*L15+(Planopplysninger!C11-Rapport!M10)*Rapport!M15+Rapport!K23*(Rapport!K6-Rapport!J6)+Rapport!K24*(Rapport!K6-Rapport!J6)+Rapport!K22*(Rapport!K6-Rapport!J6)</f>
        <v>#DIV/0!</v>
      </c>
      <c r="M30" s="62"/>
      <c r="N30" s="62"/>
    </row>
    <row r="31" spans="1:14" ht="4.5" customHeight="1" x14ac:dyDescent="0.25">
      <c r="A31" s="205"/>
      <c r="B31" s="205"/>
      <c r="C31" s="205"/>
      <c r="D31" s="205"/>
      <c r="E31" s="205"/>
      <c r="F31" s="205"/>
      <c r="G31" s="205"/>
      <c r="H31" s="205"/>
      <c r="I31" s="205"/>
      <c r="J31" s="205"/>
      <c r="K31" s="205"/>
      <c r="L31" s="205"/>
      <c r="M31" s="205"/>
      <c r="N31" s="205"/>
    </row>
    <row r="32" spans="1:14" x14ac:dyDescent="0.25">
      <c r="A32" s="204"/>
      <c r="B32" s="58" t="str">
        <f>Planlegging!C88</f>
        <v>Lamming-beiteslepp</v>
      </c>
      <c r="C32" s="26"/>
      <c r="D32" s="129">
        <f>Planlegging!C89</f>
        <v>45401</v>
      </c>
      <c r="E32" s="80">
        <f>Planlegging!C90</f>
        <v>45422</v>
      </c>
      <c r="F32" s="62"/>
      <c r="G32" s="205"/>
      <c r="H32" s="62"/>
      <c r="I32" s="62"/>
      <c r="J32" s="62"/>
      <c r="K32" s="62"/>
      <c r="L32" s="62"/>
      <c r="M32" s="62"/>
      <c r="N32" s="206"/>
    </row>
    <row r="33" spans="1:14" x14ac:dyDescent="0.25">
      <c r="A33" s="204"/>
      <c r="B33" s="66" t="str">
        <f>Planlegging!C100</f>
        <v>Søye etter lamming</v>
      </c>
      <c r="E33" t="s">
        <v>244</v>
      </c>
      <c r="F33" s="28" t="s">
        <v>245</v>
      </c>
      <c r="G33" s="205"/>
      <c r="H33" s="58" t="str">
        <f>Planopplysninger!B56</f>
        <v>Lam på sluttfôring</v>
      </c>
      <c r="I33" s="26"/>
      <c r="J33" s="26">
        <f>Planopplysninger!D57</f>
        <v>0</v>
      </c>
      <c r="K33" s="129">
        <f>Planopplysninger!B58</f>
        <v>45180</v>
      </c>
      <c r="L33" s="80">
        <f>Planopplysninger!C58</f>
        <v>45204</v>
      </c>
      <c r="M33" s="62"/>
      <c r="N33" s="206"/>
    </row>
    <row r="34" spans="1:14" x14ac:dyDescent="0.25">
      <c r="A34" s="204"/>
      <c r="B34" s="45">
        <f>Planlegging!C92</f>
        <v>0</v>
      </c>
      <c r="E34" s="46" t="e">
        <f>Planlegging!E101*(1+Planopplysninger!$F$11)</f>
        <v>#DIV/0!</v>
      </c>
      <c r="F34" s="126" t="e">
        <f>E34*(Planopplysninger!G51+Planopplysninger!G52+Planopplysninger!G53+Planopplysninger!G54)</f>
        <v>#DIV/0!</v>
      </c>
      <c r="G34" s="205"/>
      <c r="H34" s="54"/>
      <c r="I34" s="34"/>
      <c r="J34" s="34"/>
      <c r="K34" s="67" t="s">
        <v>253</v>
      </c>
      <c r="L34" s="301" t="s">
        <v>245</v>
      </c>
      <c r="M34" s="252"/>
      <c r="N34" s="206"/>
    </row>
    <row r="35" spans="1:14" x14ac:dyDescent="0.25">
      <c r="A35" s="204"/>
      <c r="B35" s="45" t="str">
        <f>Planlegging!C93</f>
        <v>Ingen grovfôr nr 2</v>
      </c>
      <c r="E35">
        <f>Planlegging!E102</f>
        <v>0</v>
      </c>
      <c r="F35" s="29">
        <f>E35*(Planopplysninger!G52+Planopplysninger!G53+Planopplysninger!G54)</f>
        <v>0</v>
      </c>
      <c r="G35" s="205"/>
      <c r="H35" s="45">
        <f>Planlegging!C130</f>
        <v>0</v>
      </c>
      <c r="K35" s="46" t="e">
        <f>Planlegging!E130*(1+Planopplysninger!$F$11)</f>
        <v>#DIV/0!</v>
      </c>
      <c r="L35" s="126" t="e">
        <f>K35*J33</f>
        <v>#DIV/0!</v>
      </c>
      <c r="M35" s="62"/>
      <c r="N35" s="206"/>
    </row>
    <row r="36" spans="1:14" x14ac:dyDescent="0.25">
      <c r="A36" s="204"/>
      <c r="B36" s="56" t="str">
        <f>Planlegging!C112</f>
        <v xml:space="preserve">Formel Sau FK Agri </v>
      </c>
      <c r="C36" s="57" t="s">
        <v>17</v>
      </c>
      <c r="D36" s="57" t="s">
        <v>244</v>
      </c>
      <c r="E36" s="57" t="s">
        <v>245</v>
      </c>
      <c r="F36" s="47"/>
      <c r="G36" s="205"/>
      <c r="H36" s="45" t="str">
        <f>Planlegging!C131</f>
        <v>Ingen grovfôr nr 2</v>
      </c>
      <c r="K36">
        <f>Planlegging!E131</f>
        <v>0</v>
      </c>
      <c r="L36" s="29">
        <f>K36*J33</f>
        <v>0</v>
      </c>
      <c r="M36" s="62"/>
      <c r="N36" s="206"/>
    </row>
    <row r="37" spans="1:14" x14ac:dyDescent="0.25">
      <c r="A37" s="204"/>
      <c r="B37" s="45" t="str">
        <f>Planlegging!C113</f>
        <v>0 lam</v>
      </c>
      <c r="C37">
        <f>Planopplysninger!G51</f>
        <v>5</v>
      </c>
      <c r="D37" s="229" t="e">
        <f>Planlegging!D113</f>
        <v>#DIV/0!</v>
      </c>
      <c r="E37" s="167" t="e">
        <f>C37*D37</f>
        <v>#DIV/0!</v>
      </c>
      <c r="F37" s="62"/>
      <c r="G37" s="205"/>
      <c r="H37" s="55" t="str">
        <f>Planlegging!C138</f>
        <v>Formel Lam FK Agri</v>
      </c>
      <c r="I37" s="31"/>
      <c r="J37" s="31"/>
      <c r="K37" s="73" t="e">
        <f>Planlegging!D138</f>
        <v>#DIV/0!</v>
      </c>
      <c r="L37" s="133" t="e">
        <f>K37*J33</f>
        <v>#DIV/0!</v>
      </c>
      <c r="M37" s="62"/>
      <c r="N37" s="206"/>
    </row>
    <row r="38" spans="1:14" x14ac:dyDescent="0.25">
      <c r="A38" s="204"/>
      <c r="B38" s="45" t="str">
        <f>Planlegging!C114</f>
        <v>1 lam</v>
      </c>
      <c r="C38">
        <f>Planopplysninger!G52</f>
        <v>35</v>
      </c>
      <c r="D38" s="229" t="e">
        <f>Planlegging!D114</f>
        <v>#DIV/0!</v>
      </c>
      <c r="E38" s="167" t="e">
        <f>C38*D38</f>
        <v>#DIV/0!</v>
      </c>
      <c r="F38" s="62"/>
      <c r="G38" s="205"/>
      <c r="H38" s="62"/>
      <c r="I38" s="62"/>
      <c r="J38" s="62"/>
      <c r="K38" s="62"/>
      <c r="L38" s="62"/>
      <c r="M38" s="62"/>
      <c r="N38" s="206"/>
    </row>
    <row r="39" spans="1:14" x14ac:dyDescent="0.25">
      <c r="A39" s="204"/>
      <c r="B39" s="45" t="str">
        <f>Planlegging!C115</f>
        <v>2 lam</v>
      </c>
      <c r="C39">
        <f>Planopplysninger!G53</f>
        <v>94</v>
      </c>
      <c r="D39" s="229" t="e">
        <f>Planlegging!D115</f>
        <v>#DIV/0!</v>
      </c>
      <c r="E39" s="167" t="e">
        <f>D39*C39</f>
        <v>#DIV/0!</v>
      </c>
      <c r="F39" s="62"/>
      <c r="G39" s="205"/>
      <c r="H39" s="66" t="s">
        <v>249</v>
      </c>
      <c r="I39" s="34"/>
      <c r="J39" s="28"/>
      <c r="K39" s="62"/>
      <c r="L39" s="62"/>
      <c r="M39" s="62"/>
      <c r="N39" s="206"/>
    </row>
    <row r="40" spans="1:14" x14ac:dyDescent="0.25">
      <c r="A40" s="204"/>
      <c r="B40" s="55" t="str">
        <f>Planlegging!C116</f>
        <v>3 lam</v>
      </c>
      <c r="C40" s="31">
        <f>Planopplysninger!G54</f>
        <v>70</v>
      </c>
      <c r="D40" s="228" t="e">
        <f>Planlegging!D116</f>
        <v>#DIV/0!</v>
      </c>
      <c r="E40" s="77" t="e">
        <f>D40*C40</f>
        <v>#DIV/0!</v>
      </c>
      <c r="F40" s="62"/>
      <c r="G40" s="205"/>
      <c r="H40" s="55" t="s">
        <v>250</v>
      </c>
      <c r="I40" s="31"/>
      <c r="J40" s="31"/>
      <c r="K40" s="26" t="s">
        <v>251</v>
      </c>
      <c r="L40" s="27" t="s">
        <v>252</v>
      </c>
      <c r="M40" s="62"/>
      <c r="N40" s="206"/>
    </row>
    <row r="41" spans="1:14" x14ac:dyDescent="0.25">
      <c r="A41" s="204"/>
      <c r="B41" s="62"/>
      <c r="C41" s="62"/>
      <c r="D41" s="130"/>
      <c r="E41" s="62"/>
      <c r="F41" s="62"/>
      <c r="G41" s="205"/>
      <c r="H41" s="54">
        <f>Planlegging!C122</f>
        <v>0</v>
      </c>
      <c r="I41" s="34"/>
      <c r="J41" s="34"/>
      <c r="K41" s="70" t="e">
        <f>(K35*J33)/Planlegging!I122</f>
        <v>#DIV/0!</v>
      </c>
      <c r="L41" s="71" t="e">
        <f>K41*(L33-K33)</f>
        <v>#DIV/0!</v>
      </c>
      <c r="M41" s="62"/>
      <c r="N41" s="206"/>
    </row>
    <row r="42" spans="1:14" x14ac:dyDescent="0.25">
      <c r="A42" s="204"/>
      <c r="B42" s="66" t="s">
        <v>249</v>
      </c>
      <c r="C42" s="28"/>
      <c r="D42" s="81"/>
      <c r="E42" s="62"/>
      <c r="F42" s="62"/>
      <c r="G42" s="205"/>
      <c r="H42" s="45" t="str">
        <f>Planlegging!C123</f>
        <v>Ingen grovfôr nr 2</v>
      </c>
      <c r="K42" s="46">
        <f>L36/Planlegging!I123</f>
        <v>0</v>
      </c>
      <c r="L42" s="126">
        <f>K42*(L33-K33)</f>
        <v>0</v>
      </c>
      <c r="M42" s="62"/>
      <c r="N42" s="206"/>
    </row>
    <row r="43" spans="1:14" x14ac:dyDescent="0.25">
      <c r="A43" s="204"/>
      <c r="B43" s="55" t="s">
        <v>250</v>
      </c>
      <c r="C43" s="31"/>
      <c r="D43" s="26"/>
      <c r="E43" s="26" t="s">
        <v>251</v>
      </c>
      <c r="F43" s="27" t="s">
        <v>252</v>
      </c>
      <c r="G43" s="205"/>
      <c r="H43" s="55" t="str">
        <f>Planlegging!C127</f>
        <v>Formel Lam FK Agri</v>
      </c>
      <c r="I43" s="31"/>
      <c r="J43" s="31"/>
      <c r="K43" s="31"/>
      <c r="L43" s="131" t="e">
        <f>L37*(L33-K33)</f>
        <v>#DIV/0!</v>
      </c>
      <c r="M43" s="62"/>
      <c r="N43" s="206"/>
    </row>
    <row r="44" spans="1:14" x14ac:dyDescent="0.25">
      <c r="A44" s="204"/>
      <c r="B44" s="54">
        <f>Planlegging!C101</f>
        <v>0</v>
      </c>
      <c r="C44" s="34"/>
      <c r="E44" s="46" t="e">
        <f>F34/Planlegging!I92</f>
        <v>#DIV/0!</v>
      </c>
      <c r="F44" s="71" t="e">
        <f>E44*(E32-D32)</f>
        <v>#DIV/0!</v>
      </c>
      <c r="G44" s="205"/>
      <c r="H44" s="62"/>
      <c r="I44" s="62"/>
      <c r="J44" s="62"/>
      <c r="K44" s="62"/>
      <c r="L44" s="62"/>
      <c r="M44" s="62"/>
      <c r="N44" s="206"/>
    </row>
    <row r="45" spans="1:14" x14ac:dyDescent="0.25">
      <c r="A45" s="204"/>
      <c r="B45" s="45" t="str">
        <f>Planlegging!C102</f>
        <v>Ingen grovfôr nr 2</v>
      </c>
      <c r="E45" s="46">
        <f>F35/Planlegging!I93</f>
        <v>0</v>
      </c>
      <c r="F45" s="126">
        <f>E45*(E32-D32)</f>
        <v>0</v>
      </c>
      <c r="G45" s="205"/>
      <c r="H45" s="62"/>
      <c r="I45" s="62"/>
      <c r="J45" s="62"/>
      <c r="K45" s="62"/>
      <c r="L45" s="62"/>
      <c r="M45" s="62"/>
      <c r="N45" s="206"/>
    </row>
    <row r="46" spans="1:14" x14ac:dyDescent="0.25">
      <c r="A46" s="204"/>
      <c r="B46" s="69" t="str">
        <f>Planlegging!C97</f>
        <v xml:space="preserve">Formel Sau FK Agri </v>
      </c>
      <c r="C46" s="26"/>
      <c r="D46" s="26"/>
      <c r="E46" s="134" t="e">
        <f>E37+E38+E39+E40</f>
        <v>#DIV/0!</v>
      </c>
      <c r="F46" s="135" t="e">
        <f>E46*(E32-D32)</f>
        <v>#DIV/0!</v>
      </c>
      <c r="G46" s="205"/>
      <c r="H46" s="62"/>
      <c r="I46" s="62"/>
      <c r="J46" s="62"/>
      <c r="K46" s="62"/>
      <c r="L46" s="62"/>
      <c r="M46" s="62"/>
      <c r="N46" s="62"/>
    </row>
    <row r="47" spans="1:14" ht="3" customHeight="1" x14ac:dyDescent="0.25">
      <c r="A47" s="205"/>
      <c r="B47" s="205"/>
      <c r="C47" s="205"/>
      <c r="D47" s="205"/>
      <c r="E47" s="205"/>
      <c r="F47" s="205"/>
      <c r="G47" s="205"/>
      <c r="H47" s="205"/>
      <c r="I47" s="205"/>
      <c r="J47" s="205"/>
      <c r="K47" s="205"/>
      <c r="L47" s="205"/>
      <c r="M47" s="205"/>
      <c r="N47" s="205"/>
    </row>
    <row r="48" spans="1:14" x14ac:dyDescent="0.25">
      <c r="A48" s="230"/>
      <c r="B48" s="66" t="s">
        <v>254</v>
      </c>
      <c r="C48" s="34"/>
      <c r="D48" s="34"/>
      <c r="E48" s="34"/>
      <c r="F48" s="28"/>
      <c r="G48" s="205"/>
      <c r="H48" s="66" t="str">
        <f>B32</f>
        <v>Lamming-beiteslepp</v>
      </c>
      <c r="I48" s="67"/>
      <c r="J48" s="34"/>
      <c r="K48" s="34"/>
      <c r="L48" s="57" t="s">
        <v>255</v>
      </c>
      <c r="M48" s="28"/>
      <c r="N48" s="62"/>
    </row>
    <row r="49" spans="1:14" ht="17.25" x14ac:dyDescent="0.25">
      <c r="A49" s="230"/>
      <c r="B49" s="56" t="str">
        <f>B7</f>
        <v>Innsett til høgdrektig</v>
      </c>
      <c r="F49" s="57" t="s">
        <v>255</v>
      </c>
      <c r="G49" s="205"/>
      <c r="H49" s="222">
        <f>D32</f>
        <v>45401</v>
      </c>
      <c r="I49" s="170">
        <f>E32</f>
        <v>45422</v>
      </c>
      <c r="J49" s="57" t="s">
        <v>256</v>
      </c>
      <c r="K49" s="57" t="s">
        <v>70</v>
      </c>
      <c r="L49" s="57" t="s">
        <v>257</v>
      </c>
      <c r="M49" s="29"/>
      <c r="N49" s="62"/>
    </row>
    <row r="50" spans="1:14" ht="17.25" x14ac:dyDescent="0.25">
      <c r="A50" s="230"/>
      <c r="B50" s="222">
        <f>D7</f>
        <v>45209</v>
      </c>
      <c r="C50" s="170">
        <f>E7</f>
        <v>45345</v>
      </c>
      <c r="D50" s="57" t="s">
        <v>256</v>
      </c>
      <c r="E50" s="57" t="s">
        <v>70</v>
      </c>
      <c r="F50" s="57" t="s">
        <v>257</v>
      </c>
      <c r="G50" s="205"/>
      <c r="H50" s="45">
        <f>B34</f>
        <v>0</v>
      </c>
      <c r="J50" s="223" t="e">
        <f>F44*Planlegging!I92</f>
        <v>#DIV/0!</v>
      </c>
      <c r="K50" s="223" t="e">
        <f>J50*Planlegging!D92*Planlegging!F92</f>
        <v>#DIV/0!</v>
      </c>
      <c r="L50" s="167" t="e">
        <f>F44</f>
        <v>#DIV/0!</v>
      </c>
      <c r="M50" s="29"/>
      <c r="N50" s="62"/>
    </row>
    <row r="51" spans="1:14" x14ac:dyDescent="0.25">
      <c r="A51" s="230"/>
      <c r="B51" s="45">
        <f>B10</f>
        <v>0</v>
      </c>
      <c r="D51" s="223" t="e">
        <f>F28*Planlegging!I6</f>
        <v>#DIV/0!</v>
      </c>
      <c r="E51" s="223" t="e">
        <f>D51*Planlegging!D6*Planlegging!F6</f>
        <v>#DIV/0!</v>
      </c>
      <c r="F51" s="76" t="e">
        <f>F28</f>
        <v>#DIV/0!</v>
      </c>
      <c r="G51" s="205"/>
      <c r="H51" s="45" t="str">
        <f>B45</f>
        <v>Ingen grovfôr nr 2</v>
      </c>
      <c r="J51" s="223">
        <f>F45*Planlegging!I93</f>
        <v>0</v>
      </c>
      <c r="K51" s="223">
        <f>J51*Planlegging!D93*Planlegging!F93</f>
        <v>0</v>
      </c>
      <c r="L51">
        <f>F45</f>
        <v>0</v>
      </c>
      <c r="M51" s="29"/>
      <c r="N51" s="62"/>
    </row>
    <row r="52" spans="1:14" x14ac:dyDescent="0.25">
      <c r="A52" s="230"/>
      <c r="B52" s="45" t="str">
        <f>B11</f>
        <v>Ingen grovfôr nr 2</v>
      </c>
      <c r="D52" s="223">
        <f>F29*Planlegging!I7</f>
        <v>0</v>
      </c>
      <c r="E52" s="223">
        <f>D52*Planlegging!D7*Planlegging!F7</f>
        <v>0</v>
      </c>
      <c r="F52" s="224">
        <f>F29</f>
        <v>0</v>
      </c>
      <c r="G52" s="205"/>
      <c r="H52" s="45" t="str">
        <f>B46</f>
        <v xml:space="preserve">Formel Sau FK Agri </v>
      </c>
      <c r="J52" s="223" t="e">
        <f>F46</f>
        <v>#DIV/0!</v>
      </c>
      <c r="K52" s="223" t="e">
        <f>J52*Planlegging!D97*Planlegging!F97</f>
        <v>#DIV/0!</v>
      </c>
      <c r="M52" s="29"/>
      <c r="N52" s="62"/>
    </row>
    <row r="53" spans="1:14" x14ac:dyDescent="0.25">
      <c r="A53" s="230"/>
      <c r="B53" s="45" t="str">
        <f>B12</f>
        <v>Formel Sau Intensiv FK Agri</v>
      </c>
      <c r="D53" s="223" t="e">
        <f>F30</f>
        <v>#DIV/0!</v>
      </c>
      <c r="E53" s="223" t="e">
        <f>F30*Planlegging!D11*Planlegging!F11</f>
        <v>#DIV/0!</v>
      </c>
      <c r="F53" s="29"/>
      <c r="G53" s="205"/>
      <c r="H53" s="45"/>
      <c r="M53" s="29"/>
      <c r="N53" s="62"/>
    </row>
    <row r="54" spans="1:14" x14ac:dyDescent="0.25">
      <c r="A54" s="230"/>
      <c r="B54" s="56" t="str">
        <f>H6</f>
        <v>Høgdrektig til lamming</v>
      </c>
      <c r="F54" s="57" t="s">
        <v>255</v>
      </c>
      <c r="G54" s="205"/>
      <c r="H54" s="56" t="str">
        <f>H33</f>
        <v>Lam på sluttfôring</v>
      </c>
      <c r="L54" s="57" t="s">
        <v>255</v>
      </c>
      <c r="M54" s="29"/>
      <c r="N54" s="62"/>
    </row>
    <row r="55" spans="1:14" ht="17.25" x14ac:dyDescent="0.25">
      <c r="A55" s="230"/>
      <c r="B55" s="222">
        <f>J6</f>
        <v>45345</v>
      </c>
      <c r="C55" s="170">
        <f>K6</f>
        <v>45401</v>
      </c>
      <c r="D55" s="57" t="s">
        <v>256</v>
      </c>
      <c r="E55" s="57" t="s">
        <v>70</v>
      </c>
      <c r="F55" s="57" t="s">
        <v>257</v>
      </c>
      <c r="G55" s="205"/>
      <c r="H55" s="222">
        <f>K33</f>
        <v>45180</v>
      </c>
      <c r="I55" s="170">
        <f>L33</f>
        <v>45204</v>
      </c>
      <c r="J55" s="57" t="s">
        <v>256</v>
      </c>
      <c r="K55" s="57" t="s">
        <v>70</v>
      </c>
      <c r="L55" s="57" t="s">
        <v>257</v>
      </c>
      <c r="M55" s="29"/>
      <c r="N55" s="62"/>
    </row>
    <row r="56" spans="1:14" x14ac:dyDescent="0.25">
      <c r="A56" s="230"/>
      <c r="B56" s="45">
        <f>H8</f>
        <v>0</v>
      </c>
      <c r="D56" s="223" t="e">
        <f>L28*Planlegging!I47</f>
        <v>#DIV/0!</v>
      </c>
      <c r="E56" s="223" t="e">
        <f>D56*Planlegging!D47*Planlegging!F47</f>
        <v>#DIV/0!</v>
      </c>
      <c r="F56" s="126" t="e">
        <f>L28</f>
        <v>#DIV/0!</v>
      </c>
      <c r="G56" s="205"/>
      <c r="H56" s="45">
        <f>H35</f>
        <v>0</v>
      </c>
      <c r="J56" s="223" t="e">
        <f>L41*Planlegging!I122</f>
        <v>#DIV/0!</v>
      </c>
      <c r="K56" s="223" t="e">
        <f>J56*Planlegging!D122*Planlegging!F122</f>
        <v>#DIV/0!</v>
      </c>
      <c r="L56" s="167" t="e">
        <f>L41</f>
        <v>#DIV/0!</v>
      </c>
      <c r="M56" s="29"/>
      <c r="N56" s="62"/>
    </row>
    <row r="57" spans="1:14" x14ac:dyDescent="0.25">
      <c r="A57" s="230"/>
      <c r="B57" s="45" t="str">
        <f>H9</f>
        <v>Ingen grovfôr nr 2</v>
      </c>
      <c r="D57">
        <f>L29*Planlegging!I48</f>
        <v>8120</v>
      </c>
      <c r="E57" s="223">
        <f>D57*Planlegging!D48*Planlegging!F48</f>
        <v>0</v>
      </c>
      <c r="F57" s="126">
        <f>L29</f>
        <v>8120</v>
      </c>
      <c r="G57" s="205"/>
      <c r="H57" s="45" t="str">
        <f>H36</f>
        <v>Ingen grovfôr nr 2</v>
      </c>
      <c r="J57" s="223">
        <f>L42*Planlegging!I123</f>
        <v>0</v>
      </c>
      <c r="K57" s="223">
        <f>J57*Planlegging!D123*Planlegging!F123</f>
        <v>0</v>
      </c>
      <c r="L57" s="167">
        <f>L42</f>
        <v>0</v>
      </c>
      <c r="M57" s="29"/>
      <c r="N57" s="62"/>
    </row>
    <row r="58" spans="1:14" x14ac:dyDescent="0.25">
      <c r="A58" s="230"/>
      <c r="B58" s="55" t="str">
        <f>H21</f>
        <v xml:space="preserve">Formel Sau FK Agri </v>
      </c>
      <c r="C58" s="31"/>
      <c r="D58" s="221" t="e">
        <f>L30</f>
        <v>#DIV/0!</v>
      </c>
      <c r="E58" s="225" t="e">
        <f>D58*Planlegging!D52*Planlegging!F52</f>
        <v>#DIV/0!</v>
      </c>
      <c r="F58" s="47"/>
      <c r="G58" s="205"/>
      <c r="H58" s="55" t="str">
        <f>H43</f>
        <v>Formel Lam FK Agri</v>
      </c>
      <c r="I58" s="31"/>
      <c r="J58" s="223" t="e">
        <f>L43</f>
        <v>#DIV/0!</v>
      </c>
      <c r="K58" s="223" t="e">
        <f>L43*Planlegging!D127*Planlegging!F127</f>
        <v>#DIV/0!</v>
      </c>
      <c r="M58" s="47"/>
      <c r="N58" s="62"/>
    </row>
    <row r="59" spans="1:14" x14ac:dyDescent="0.25">
      <c r="A59" s="230"/>
      <c r="B59" s="62"/>
      <c r="C59" s="62"/>
      <c r="D59" s="62"/>
      <c r="E59" s="62"/>
      <c r="F59" s="62"/>
      <c r="G59" s="205"/>
      <c r="H59" s="62"/>
      <c r="I59" s="62"/>
      <c r="J59" s="62"/>
      <c r="K59" s="62"/>
      <c r="L59" s="62"/>
      <c r="M59" s="62"/>
      <c r="N59" s="62"/>
    </row>
    <row r="60" spans="1:14" x14ac:dyDescent="0.25">
      <c r="A60" s="230"/>
      <c r="B60" s="62"/>
      <c r="C60" s="62"/>
      <c r="D60" s="62"/>
      <c r="E60" s="62"/>
      <c r="F60" s="54"/>
      <c r="G60" s="34"/>
      <c r="H60" s="34" t="s">
        <v>258</v>
      </c>
      <c r="I60" s="34"/>
      <c r="J60" s="34" t="s">
        <v>259</v>
      </c>
      <c r="K60" s="152" t="s">
        <v>260</v>
      </c>
      <c r="L60" s="28" t="s">
        <v>261</v>
      </c>
      <c r="M60" s="62"/>
      <c r="N60" s="62"/>
    </row>
    <row r="61" spans="1:14" x14ac:dyDescent="0.25">
      <c r="A61" s="230"/>
      <c r="B61" s="62"/>
      <c r="C61" s="62"/>
      <c r="D61" s="62"/>
      <c r="E61" s="62"/>
      <c r="F61" s="56" t="s">
        <v>262</v>
      </c>
      <c r="H61" s="219" t="e">
        <f>E51+E52+E56+E57+K50+K51+K56+K57</f>
        <v>#DIV/0!</v>
      </c>
      <c r="J61" s="158" t="e">
        <f>H61/(Planopplysninger!C6+Planopplysninger!C7)</f>
        <v>#DIV/0!</v>
      </c>
      <c r="K61" s="53">
        <v>3.6</v>
      </c>
      <c r="L61" s="158" t="e">
        <f>K61*J61</f>
        <v>#DIV/0!</v>
      </c>
      <c r="M61" s="62"/>
      <c r="N61" s="62"/>
    </row>
    <row r="62" spans="1:14" x14ac:dyDescent="0.25">
      <c r="A62" s="230"/>
      <c r="B62" s="62"/>
      <c r="C62" s="62"/>
      <c r="D62" s="62"/>
      <c r="E62" s="62"/>
      <c r="F62" s="220" t="s">
        <v>263</v>
      </c>
      <c r="G62" s="31"/>
      <c r="H62" s="221" t="e">
        <f>E53+E58+K52+K58</f>
        <v>#DIV/0!</v>
      </c>
      <c r="I62" s="31"/>
      <c r="J62" s="158" t="e">
        <f>H62/(Planopplysninger!C6+Planopplysninger!C7)</f>
        <v>#DIV/0!</v>
      </c>
      <c r="K62" s="53">
        <v>5.8</v>
      </c>
      <c r="L62" s="158" t="e">
        <f>K62*J62</f>
        <v>#DIV/0!</v>
      </c>
      <c r="M62" s="62"/>
      <c r="N62" s="62"/>
    </row>
    <row r="63" spans="1:14" x14ac:dyDescent="0.25">
      <c r="A63" s="230"/>
      <c r="B63" s="62"/>
      <c r="C63" s="62"/>
      <c r="D63" s="62"/>
      <c r="E63" s="62"/>
      <c r="F63" s="62"/>
      <c r="G63" s="62"/>
      <c r="H63" s="62"/>
      <c r="I63" s="62"/>
      <c r="J63" s="62"/>
      <c r="K63" s="32" t="s">
        <v>15</v>
      </c>
      <c r="L63" s="334" t="e">
        <f>L61+L62</f>
        <v>#DIV/0!</v>
      </c>
      <c r="M63" s="62"/>
      <c r="N63" s="62"/>
    </row>
    <row r="64" spans="1:14" x14ac:dyDescent="0.25">
      <c r="A64" s="62"/>
      <c r="B64" s="62"/>
      <c r="C64" s="62"/>
      <c r="D64" s="62"/>
      <c r="E64" s="283"/>
      <c r="F64" s="284"/>
      <c r="G64" s="62"/>
      <c r="H64" s="62"/>
      <c r="I64" s="62"/>
      <c r="J64" s="62"/>
      <c r="K64" s="62"/>
      <c r="L64" s="62"/>
      <c r="M64" s="62"/>
      <c r="N64" s="62"/>
    </row>
    <row r="66" spans="10:10" x14ac:dyDescent="0.25">
      <c r="J66" s="167"/>
    </row>
  </sheetData>
  <pageMargins left="0.70866141732283472" right="0.70866141732283472" top="0.74803149606299213" bottom="0.74803149606299213" header="0.31496062992125984" footer="0.31496062992125984"/>
  <pageSetup paperSize="9"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H75"/>
  <sheetViews>
    <sheetView workbookViewId="0">
      <selection activeCell="D61" sqref="D61"/>
    </sheetView>
  </sheetViews>
  <sheetFormatPr baseColWidth="10" defaultColWidth="11.42578125" defaultRowHeight="15" x14ac:dyDescent="0.25"/>
  <cols>
    <col min="1" max="1" width="6.85546875" customWidth="1"/>
    <col min="2" max="2" width="6.42578125" customWidth="1"/>
    <col min="3" max="3" width="35.5703125" customWidth="1"/>
    <col min="4" max="8" width="11.5703125" bestFit="1" customWidth="1"/>
    <col min="9" max="9" width="9.140625" customWidth="1"/>
    <col min="10" max="10" width="12.140625" bestFit="1" customWidth="1"/>
    <col min="11" max="13" width="11.5703125" bestFit="1" customWidth="1"/>
    <col min="14" max="14" width="16.42578125" customWidth="1"/>
    <col min="15" max="16" width="11.5703125" bestFit="1" customWidth="1"/>
    <col min="17" max="17" width="12.140625" bestFit="1" customWidth="1"/>
    <col min="20" max="20" width="24.5703125" customWidth="1"/>
    <col min="21" max="23" width="5" bestFit="1" customWidth="1"/>
    <col min="24" max="24" width="6" bestFit="1" customWidth="1"/>
    <col min="25" max="25" width="4.140625" bestFit="1" customWidth="1"/>
    <col min="26" max="27" width="4" bestFit="1" customWidth="1"/>
    <col min="28" max="28" width="4.28515625" bestFit="1" customWidth="1"/>
    <col min="29" max="29" width="7.28515625" bestFit="1" customWidth="1"/>
    <col min="30" max="32" width="5" bestFit="1" customWidth="1"/>
    <col min="33" max="33" width="4" bestFit="1" customWidth="1"/>
    <col min="34" max="34" width="5.7109375" bestFit="1" customWidth="1"/>
  </cols>
  <sheetData>
    <row r="2" spans="1:34" ht="21" x14ac:dyDescent="0.35">
      <c r="I2" s="380" t="s">
        <v>264</v>
      </c>
    </row>
    <row r="3" spans="1:34" ht="15.75" x14ac:dyDescent="0.25">
      <c r="D3" s="394"/>
      <c r="E3" s="395"/>
      <c r="F3" s="395" t="s">
        <v>265</v>
      </c>
      <c r="G3" s="395"/>
      <c r="H3" s="395"/>
      <c r="I3" s="396"/>
      <c r="J3" s="394"/>
      <c r="K3" s="395"/>
      <c r="L3" s="395"/>
      <c r="M3" s="395"/>
      <c r="N3" s="395" t="s">
        <v>266</v>
      </c>
      <c r="O3" s="395"/>
      <c r="P3" s="395"/>
      <c r="Q3" s="396"/>
    </row>
    <row r="4" spans="1:34" ht="21" x14ac:dyDescent="0.35">
      <c r="C4" s="380" t="s">
        <v>267</v>
      </c>
      <c r="D4" s="285" t="s">
        <v>154</v>
      </c>
      <c r="E4" s="285" t="s">
        <v>158</v>
      </c>
      <c r="F4" s="285" t="s">
        <v>155</v>
      </c>
      <c r="G4" s="285" t="s">
        <v>156</v>
      </c>
      <c r="H4" s="285" t="s">
        <v>157</v>
      </c>
      <c r="I4" s="285" t="s">
        <v>160</v>
      </c>
      <c r="J4" s="285" t="s">
        <v>144</v>
      </c>
      <c r="K4" s="285" t="s">
        <v>142</v>
      </c>
      <c r="L4" s="285" t="s">
        <v>141</v>
      </c>
      <c r="M4" s="285" t="s">
        <v>138</v>
      </c>
      <c r="N4" s="285" t="s">
        <v>139</v>
      </c>
      <c r="O4" s="397" t="s">
        <v>140</v>
      </c>
      <c r="P4" s="123" t="s">
        <v>143</v>
      </c>
      <c r="Q4" s="398" t="s">
        <v>183</v>
      </c>
      <c r="Z4" s="380"/>
    </row>
    <row r="5" spans="1:34" ht="21" x14ac:dyDescent="0.35">
      <c r="B5" s="381">
        <f>Planlegging!B6</f>
        <v>1</v>
      </c>
      <c r="C5" s="381">
        <f>Planlegging!C6</f>
        <v>0</v>
      </c>
      <c r="D5" s="340">
        <v>4.0999999999999996</v>
      </c>
      <c r="E5" s="340">
        <v>22</v>
      </c>
      <c r="F5" s="340">
        <v>2.8</v>
      </c>
      <c r="G5" s="340">
        <v>1.4</v>
      </c>
      <c r="H5" s="340">
        <v>0.3</v>
      </c>
      <c r="I5" s="340">
        <v>1.8</v>
      </c>
      <c r="J5" s="340">
        <v>220</v>
      </c>
      <c r="K5" s="340">
        <v>70</v>
      </c>
      <c r="L5" s="340">
        <v>57</v>
      </c>
      <c r="M5" s="340">
        <v>5</v>
      </c>
      <c r="N5" s="340">
        <v>0.02</v>
      </c>
      <c r="O5" s="340">
        <v>0.2</v>
      </c>
      <c r="P5" s="340">
        <v>0</v>
      </c>
      <c r="Q5" s="340">
        <v>75</v>
      </c>
      <c r="U5" s="69"/>
      <c r="V5" s="26"/>
      <c r="W5" s="26"/>
      <c r="X5" s="26" t="s">
        <v>268</v>
      </c>
      <c r="Y5" s="26"/>
      <c r="Z5" s="26"/>
      <c r="AA5" s="69"/>
      <c r="AB5" s="26"/>
      <c r="AC5" s="26" t="s">
        <v>269</v>
      </c>
      <c r="AD5" s="26"/>
      <c r="AE5" s="26"/>
      <c r="AF5" s="26"/>
      <c r="AG5" s="26"/>
      <c r="AH5" s="27" t="s">
        <v>270</v>
      </c>
    </row>
    <row r="6" spans="1:34" ht="21" x14ac:dyDescent="0.35">
      <c r="B6" s="381">
        <f>Planlegging!B7</f>
        <v>6</v>
      </c>
      <c r="C6" s="381" t="str">
        <f>Planlegging!C7</f>
        <v>Ingen grovfôr nr 2</v>
      </c>
      <c r="D6" s="340"/>
      <c r="E6" s="340"/>
      <c r="F6" s="340"/>
      <c r="G6" s="340"/>
      <c r="H6" s="340"/>
      <c r="I6" s="340"/>
      <c r="J6" s="340"/>
      <c r="K6" s="340"/>
      <c r="L6" s="340"/>
      <c r="M6" s="340"/>
      <c r="N6" s="340"/>
      <c r="O6" s="340"/>
      <c r="P6" s="340"/>
      <c r="Q6" s="340"/>
      <c r="U6" s="119" t="s">
        <v>154</v>
      </c>
      <c r="V6" s="119" t="s">
        <v>158</v>
      </c>
      <c r="W6" s="119" t="s">
        <v>155</v>
      </c>
      <c r="X6" s="119" t="s">
        <v>156</v>
      </c>
      <c r="Y6" s="119" t="s">
        <v>157</v>
      </c>
      <c r="Z6" s="119" t="s">
        <v>160</v>
      </c>
      <c r="AA6" s="119" t="s">
        <v>144</v>
      </c>
      <c r="AB6" s="119" t="s">
        <v>142</v>
      </c>
      <c r="AC6" s="119" t="s">
        <v>141</v>
      </c>
      <c r="AD6" s="119" t="s">
        <v>138</v>
      </c>
      <c r="AE6" s="119" t="s">
        <v>139</v>
      </c>
      <c r="AF6" s="144" t="s">
        <v>140</v>
      </c>
      <c r="AG6" s="144" t="s">
        <v>271</v>
      </c>
      <c r="AH6" s="119" t="s">
        <v>183</v>
      </c>
    </row>
    <row r="7" spans="1:34" x14ac:dyDescent="0.25">
      <c r="T7" s="53" t="s">
        <v>272</v>
      </c>
      <c r="U7" s="53">
        <v>2.6</v>
      </c>
      <c r="V7" s="53">
        <v>7.1</v>
      </c>
      <c r="W7" s="53">
        <v>2.2000000000000002</v>
      </c>
      <c r="X7" s="53">
        <v>1.4</v>
      </c>
      <c r="Y7" s="53">
        <v>0.9</v>
      </c>
      <c r="Z7" s="53">
        <v>2.1</v>
      </c>
      <c r="AA7" s="53">
        <v>11</v>
      </c>
      <c r="AB7" s="53">
        <v>21</v>
      </c>
      <c r="AC7" s="53">
        <v>41</v>
      </c>
      <c r="AD7" s="53">
        <v>5.3</v>
      </c>
      <c r="AE7" s="53">
        <v>7.0000000000000007E-2</v>
      </c>
      <c r="AF7" s="53">
        <v>0.13</v>
      </c>
      <c r="AG7" s="53">
        <v>0.7</v>
      </c>
      <c r="AH7" s="53">
        <v>424</v>
      </c>
    </row>
    <row r="8" spans="1:34" ht="15.75" x14ac:dyDescent="0.25">
      <c r="D8" s="499" t="s">
        <v>137</v>
      </c>
      <c r="E8" s="499"/>
      <c r="F8" s="499"/>
      <c r="G8" s="499"/>
      <c r="H8" s="499"/>
      <c r="I8" s="499"/>
      <c r="J8" s="499"/>
      <c r="K8" s="399" t="s">
        <v>138</v>
      </c>
      <c r="L8" s="400" t="s">
        <v>139</v>
      </c>
      <c r="M8" s="400" t="s">
        <v>140</v>
      </c>
      <c r="N8" s="400" t="s">
        <v>141</v>
      </c>
      <c r="O8" s="400" t="s">
        <v>142</v>
      </c>
      <c r="P8" s="400" t="s">
        <v>143</v>
      </c>
      <c r="Q8" s="401" t="s">
        <v>144</v>
      </c>
      <c r="R8" s="401" t="s">
        <v>145</v>
      </c>
      <c r="S8" s="377"/>
      <c r="T8" s="53" t="s">
        <v>273</v>
      </c>
      <c r="U8" s="53">
        <v>4.8</v>
      </c>
      <c r="V8" s="53">
        <v>7</v>
      </c>
      <c r="W8" s="53">
        <v>3.7</v>
      </c>
      <c r="X8" s="53">
        <v>1.5</v>
      </c>
      <c r="Y8" s="53">
        <v>0.9</v>
      </c>
      <c r="Z8" s="53">
        <v>2.7</v>
      </c>
      <c r="AA8" s="53">
        <v>79</v>
      </c>
      <c r="AB8" s="53">
        <v>29</v>
      </c>
      <c r="AC8" s="53">
        <v>49</v>
      </c>
      <c r="AD8" s="53">
        <v>7.8</v>
      </c>
      <c r="AE8" s="53">
        <v>0.46</v>
      </c>
      <c r="AF8" s="53">
        <v>0.3</v>
      </c>
      <c r="AG8" s="53">
        <v>0.8</v>
      </c>
      <c r="AH8" s="53">
        <v>500</v>
      </c>
    </row>
    <row r="9" spans="1:34" ht="21" x14ac:dyDescent="0.35">
      <c r="C9" s="380" t="s">
        <v>274</v>
      </c>
      <c r="D9" s="402" t="s">
        <v>154</v>
      </c>
      <c r="E9" s="403" t="s">
        <v>155</v>
      </c>
      <c r="F9" s="403" t="s">
        <v>156</v>
      </c>
      <c r="G9" s="403" t="s">
        <v>157</v>
      </c>
      <c r="H9" s="403" t="s">
        <v>158</v>
      </c>
      <c r="I9" s="403" t="s">
        <v>159</v>
      </c>
      <c r="J9" s="404" t="s">
        <v>160</v>
      </c>
      <c r="K9" s="399" t="s">
        <v>161</v>
      </c>
      <c r="L9" s="403" t="s">
        <v>161</v>
      </c>
      <c r="M9" s="403" t="s">
        <v>161</v>
      </c>
      <c r="N9" s="403" t="s">
        <v>161</v>
      </c>
      <c r="O9" s="403" t="s">
        <v>161</v>
      </c>
      <c r="P9" s="403" t="s">
        <v>161</v>
      </c>
      <c r="Q9" s="401" t="s">
        <v>161</v>
      </c>
      <c r="R9" s="401" t="s">
        <v>161</v>
      </c>
      <c r="S9" s="377"/>
      <c r="T9" s="53" t="s">
        <v>275</v>
      </c>
      <c r="U9" s="53">
        <v>7</v>
      </c>
      <c r="V9" s="53">
        <v>9</v>
      </c>
      <c r="W9" s="53">
        <v>5.0999999999999996</v>
      </c>
      <c r="X9" s="53">
        <v>1.9</v>
      </c>
      <c r="Y9" s="53">
        <v>1.2</v>
      </c>
      <c r="Z9" s="53">
        <v>2.9</v>
      </c>
      <c r="AA9" s="53">
        <v>60</v>
      </c>
      <c r="AB9" s="53">
        <v>48</v>
      </c>
      <c r="AC9" s="53">
        <v>65</v>
      </c>
      <c r="AD9" s="53">
        <v>13.5</v>
      </c>
      <c r="AE9" s="53">
        <v>0.15</v>
      </c>
      <c r="AF9" s="53">
        <v>0.18</v>
      </c>
      <c r="AG9" s="53">
        <v>0.9</v>
      </c>
      <c r="AH9" s="53">
        <v>424</v>
      </c>
    </row>
    <row r="10" spans="1:34" ht="21" x14ac:dyDescent="0.35">
      <c r="B10" s="382">
        <f>Planlegging!B11</f>
        <v>5</v>
      </c>
      <c r="C10" s="382" t="str">
        <f>Planlegging!C11</f>
        <v>Formel Sau Intensiv FK Agri</v>
      </c>
      <c r="D10" s="405">
        <f>IF($B$10=1,'Aktuelle fôrslag'!$N$26,IF($B$10=2,'Aktuelle fôrslag'!$N$27,IF($B$10=3,'Aktuelle fôrslag'!$N$28,IF($B$10=4,'Aktuelle fôrslag'!$N$29,IF($B$10=5,'Aktuelle fôrslag'!$N$30,IF($B$10=6,'Aktuelle fôrslag'!$N$31,IF($B$10=7,'Aktuelle fôrslag'!$N$32,IF($B$10=8,'Aktuelle fôrslag'!$N$33,IF($B$10=9,'Aktuelle fôrslag'!$N$34,IF($B$10=10,'Aktuelle fôrslag'!$N$35,IF($B$10=11,'Aktuelle fôrslag'!$N$36,IF($B$10=12,'Aktuelle fôrslag'!$N$37,IF($B$10=13,'Aktuelle fôrslag'!$N$38,IF($B$10=14,'Aktuelle fôrslag'!$N$39,IF($B$10=15,'Aktuelle fôrslag'!$N$40,IF($B$10=16,'Aktuelle fôrslag'!$N$41,IF($B$10=17,'Aktuelle fôrslag'!$N$42,IF($B$10=18,'Aktuelle fôrslag'!$N$43,IF($B$10=19,'Aktuelle fôrslag'!$N$44,IF($B$10=20,'Aktuelle fôrslag'!$N$45,IF($B$10=21,'Aktuelle fôrslag'!$N$46,IF($B$10=22,'Aktuelle fôrslag'!$N$47,'Aktuelle fôrslag'!$N$48))))))))))))))))))))))</f>
        <v>8.4312020000000005E-3</v>
      </c>
      <c r="E10" s="405">
        <f>IF($B$10=1,'Aktuelle fôrslag'!$O$26,IF($B$10=2,'Aktuelle fôrslag'!$O$27,IF($B$10=3,'Aktuelle fôrslag'!$O$28,IF($B$10=4,'Aktuelle fôrslag'!$O$29,IF($B$10=5,'Aktuelle fôrslag'!$O$30,IF($B$10=6,'Aktuelle fôrslag'!$O$31,IF($B$10=7,'Aktuelle fôrslag'!$O$32,IF($B$10=8,'Aktuelle fôrslag'!$O$33,IF($B$10=9,'Aktuelle fôrslag'!$O$34,IF($B$10=10,'Aktuelle fôrslag'!$O$35,IF($B$10=11,'Aktuelle fôrslag'!$O$36,IF($B$10=12,'Aktuelle fôrslag'!$O$37,IF($B$10=13,'Aktuelle fôrslag'!$O$38,IF($B$10=14,'Aktuelle fôrslag'!$O$39,IF($B$10=15,'Aktuelle fôrslag'!$O$40,IF($B$10=16,'Aktuelle fôrslag'!$O$41,IF($B$10=17,'Aktuelle fôrslag'!$O$42,IF($B$10=18,'Aktuelle fôrslag'!$O$43,IF($B$10=19,'Aktuelle fôrslag'!$O$44,IF($B$10=20,'Aktuelle fôrslag'!$O$45,IF($B$10=21,'Aktuelle fôrslag'!$O$46,IF($B$10=22,'Aktuelle fôrslag'!$O$47,'Aktuelle fôrslag'!$O$48))))))))))))))))))))))</f>
        <v>5.5000000000000005E-3</v>
      </c>
      <c r="F10" s="405">
        <f>IF($B$10=1,'Aktuelle fôrslag'!$P$26,IF($B$10=2,'Aktuelle fôrslag'!$P$27,IF($B$10=3,'Aktuelle fôrslag'!$P$28,IF($B$10=4,'Aktuelle fôrslag'!$P$29,IF($B$10=5,'Aktuelle fôrslag'!$P$30,IF($B$10=6,'Aktuelle fôrslag'!$P$31,IF($B$10=7,'Aktuelle fôrslag'!$P$32,IF($B$10=8,'Aktuelle fôrslag'!$P$33,IF($B$10=9,'Aktuelle fôrslag'!$P$34,IF($B$10=10,'Aktuelle fôrslag'!$P$35,IF($B$10=11,'Aktuelle fôrslag'!$P$36,IF($B$10=12,'Aktuelle fôrslag'!$P$37,IF($B$10=13,'Aktuelle fôrslag'!$Q$38,IF($B$10=14,'Aktuelle fôrslag'!$P$39,IF($B$10=15,'Aktuelle fôrslag'!$P$40,IF($B$10=16,'Aktuelle fôrslag'!$P$41,IF($B$10=17,'Aktuelle fôrslag'!$P$42,IF($B$10=18,'Aktuelle fôrslag'!$P$43,IF($B$10=19,'Aktuelle fôrslag'!$P$44,IF($B$10=20,'Aktuelle fôrslag'!$P$45,IF($B$10=21,'Aktuelle fôrslag'!$P$46,IF($B$10=22,'Aktuelle fôrslag'!$P$47,'Aktuelle fôrslag'!$P$48))))))))))))))))))))))</f>
        <v>3.0000000000000001E-3</v>
      </c>
      <c r="G10" s="483">
        <f>IF($B$10=1,'Aktuelle fôrslag'!$Q$26,IF($B$10=2,'Aktuelle fôrslag'!$Q$27,IF($B$10=3,'Aktuelle fôrslag'!$Q$28,IF($B$10=4,'Aktuelle fôrslag'!$Q$29,IF($B$10=5,'Aktuelle fôrslag'!$Q$30,IF($B$10=6,'Aktuelle fôrslag'!$Q$31,IF($B$10=7,'Aktuelle fôrslag'!$Q$32,IF($B$10=8,'Aktuelle fôrslag'!$Q$33,IF($B$10=9,'Aktuelle fôrslag'!$Q$34,IF($B$10=10,'Aktuelle fôrslag'!$Q$35,IF($B$10=11,'Aktuelle fôrslag'!$Q$36,IF($B$10=12,'Aktuelle fôrslag'!$Q$37,IF($B$10=13,'Aktuelle fôrslag'!$Q$38,IF($B$10=14,'Aktuelle fôrslag'!$Q$39,IF($B$10=15,'Aktuelle fôrslag'!$Q$40,IF($B$10=16,'Aktuelle fôrslag'!$Q$41,IF($B$10=17,'Aktuelle fôrslag'!$Q$42,IF($B$10=18,'Aktuelle fôrslag'!$Q$43,IF($B$10=19,'Aktuelle fôrslag'!$Q$44,IF($B$10=20,'Aktuelle fôrslag'!$Q$45,IF($B$10=21,'Aktuelle fôrslag'!$Q$46,IF($B$10=22,'Aktuelle fôrslag'!$Q$47,'Aktuelle fôrslag'!$Q$48))))))))))))))))))))))</f>
        <v>6.5953779999999998E-3</v>
      </c>
      <c r="H10" s="405">
        <f>IF($B$10=1,'Aktuelle fôrslag'!$R$26,IF($B$10=2,'Aktuelle fôrslag'!$R$27,IF($B$10=3,'Aktuelle fôrslag'!$R$28,IF($B$10=4,'Aktuelle fôrslag'!$R$29,IF($B$10=5,'Aktuelle fôrslag'!$R$30,IF($B$10=6,'Aktuelle fôrslag'!$R$31,IF($B$10=7,'Aktuelle fôrslag'!$R$32,IF($B$10=8,'Aktuelle fôrslag'!$R$33,IF($B$10=9,'Aktuelle fôrslag'!$R$34,IF($B$10=10,'Aktuelle fôrslag'!$R$35,IF($B$10=11,'Aktuelle fôrslag'!$R$36,IF($B$10=12,'Aktuelle fôrslag'!$R$37,IF($B$10=13,'Aktuelle fôrslag'!$R$38,IF($B$10=14,'Aktuelle fôrslag'!$R$39,IF($B$10=15,'Aktuelle fôrslag'!$R$40,IF($B$10=16,'Aktuelle fôrslag'!$R$41,IF($B$10=17,'Aktuelle fôrslag'!$R$42,IF($B$10=18,'Aktuelle fôrslag'!$R$43,IF($B$10=19,'Aktuelle fôrslag'!$R$44,IF($B$10=20,'Aktuelle fôrslag'!$R$45,IF($B$10=21,'Aktuelle fôrslag'!$R$46,IF($B$10=22,'Aktuelle fôrslag'!$R$47,'Aktuelle fôrslag'!$R$48))))))))))))))))))))))</f>
        <v>9.368178999999999E-3</v>
      </c>
      <c r="I10" s="483">
        <f>IF($B$10=1,'Aktuelle fôrslag'!$S$26,IF($B$10=2,'Aktuelle fôrslag'!$S$27,IF($B$10=3,'Aktuelle fôrslag'!$S$28,IF($B$10=4,'Aktuelle fôrslag'!$S$29,IF($B$10=5,'Aktuelle fôrslag'!$S$30,IF($B$10=6,'Aktuelle fôrslag'!$S$31,IF($B$10=7,'Aktuelle fôrslag'!$S$32,IF($B$10=8,'Aktuelle fôrslag'!$S$33,IF($B$10=9,'Aktuelle fôrslag'!$S$34,IF($B$10=10,'Aktuelle fôrslag'!$S$35,IF($B$10=11,'Aktuelle fôrslag'!$S$36,IF($B$10=12,'Aktuelle fôrslag'!$S$37,IF($B$10=13,'Aktuelle fôrslag'!$S$38,IF($B$10=14,'Aktuelle fôrslag'!$S$39,IF($B$10=15,'Aktuelle fôrslag'!$S$40,IF($B$10=16,'Aktuelle fôrslag'!$S$41,IF($B$10=17,'Aktuelle fôrslag'!$S$42,IF($B$10=18,'Aktuelle fôrslag'!$S$43,IF($B$10=19,'Aktuelle fôrslag'!$S$44,IF($B$10=20,'Aktuelle fôrslag'!$S$45,IF($B$10=21,'Aktuelle fôrslag'!$S$46,IF($B$10=22,'Aktuelle fôrslag'!$S$47,'Aktuelle fôrslag'!$S$48))))))))))))))))))))))</f>
        <v>3.1749450000000002E-3</v>
      </c>
      <c r="J10" s="405">
        <f>IF($B$10=1,'Aktuelle fôrslag'!$T$26,IF($B$10=2,'Aktuelle fôrslag'!$T$27,IF($B$10=3,'Aktuelle fôrslag'!$T$28,IF($B$10=4,'Aktuelle fôrslag'!$T$29,IF($B$10=5,'Aktuelle fôrslag'!$T$30,IF($B$10=6,'Aktuelle fôrslag'!$T$31,IF($B$10=7,'Aktuelle fôrslag'!$T$32,IF($B$10=8,'Aktuelle fôrslag'!$T$33,IF($B$10=9,'Aktuelle fôrslag'!$T$34,IF($B$10=10,'Aktuelle fôrslag'!$T$35,IF($B$10=11,'Aktuelle fôrslag'!$T$36,IF($B$10=12,'Aktuelle fôrslag'!$T$37,IF($B$10=13,'Aktuelle fôrslag'!$T$38,IF($B$10=14,'Aktuelle fôrslag'!$T$39,IF($B$10=15,'Aktuelle fôrslag'!$T$40,IF($B$10=16,'Aktuelle fôrslag'!$T$41,IF($B$10=17,'Aktuelle fôrslag'!$T$42,IF($B$10=18,'Aktuelle fôrslag'!$T$43,IF($B$10=19,'Aktuelle fôrslag'!$T$44,IF($B$10=20,'Aktuelle fôrslag'!$T$45,IF($B$10=21,'Aktuelle fôrslag'!$T$46,IF($B$10=22,'Aktuelle fôrslag'!$T$47,'Aktuelle fôrslag'!$T$48))))))))))))))))))))))</f>
        <v>3.0000000000000001E-3</v>
      </c>
      <c r="K10" s="406">
        <f>IF($B$10=1,'Aktuelle fôrslag'!$U$26,IF($B$10=2,'Aktuelle fôrslag'!$U$27,IF($B$10=3,'Aktuelle fôrslag'!$U$28,IF($B$10=4,'Aktuelle fôrslag'!$U$29,IF($B$10=5,'Aktuelle fôrslag'!$U$30,IF($B$10=6,'Aktuelle fôrslag'!$U$31,IF($B$10=7,'Aktuelle fôrslag'!$U$32,IF($B$10=8,'Aktuelle fôrslag'!$U$33,IF($B$10=9,'Aktuelle fôrslag'!$U$34,IF($B$10=10,'Aktuelle fôrslag'!$U$35,IF($B$10=11,'Aktuelle fôrslag'!$U$36,IF($B$10=12,'Aktuelle fôrslag'!$U$37,IF($B$10=13,'Aktuelle fôrslag'!$U$38,IF($B$10=14,'Aktuelle fôrslag'!$U$39,IF($B$10=15,'Aktuelle fôrslag'!$U$40,IF($B$10=16,'Aktuelle fôrslag'!$U$41,IF($B$10=17,'Aktuelle fôrslag'!$U$42,IF($B$10=18,'Aktuelle fôrslag'!$U$43,IF($B$10=19,'Aktuelle fôrslag'!$U$44,IF($B$10=20,'Aktuelle fôrslag'!$U$45,IF($B$10=21,'Aktuelle fôrslag'!$U$46,IF($B$10=22,'Aktuelle fôrslag'!$U$47,'Aktuelle fôrslag'!$U$48))))))))))))))))))))))</f>
        <v>10.559329999999999</v>
      </c>
      <c r="L10" s="406">
        <f>IF($B$10=1,'Aktuelle fôrslag'!$V$26,IF($B$10=2,'Aktuelle fôrslag'!$V$27,IF($B$10=3,'Aktuelle fôrslag'!$V$28,IF($B$10=4,'Aktuelle fôrslag'!$V$29,IF($B$10=5,'Aktuelle fôrslag'!$V$30,IF($B$10=6,'Aktuelle fôrslag'!$V$31,IF($B$10=7,'Aktuelle fôrslag'!$V$32,IF($B$10=8,'Aktuelle fôrslag'!$V$33,IF($B$10=9,'Aktuelle fôrslag'!$V$34,IF($B$10=10,'Aktuelle fôrslag'!$V$35,IF($B$10=11,'Aktuelle fôrslag'!$V$36,IF($B$10=12,'Aktuelle fôrslag'!$V$37,IF($B$10=13,'Aktuelle fôrslag'!$V$38,IF($B$10=14,'Aktuelle fôrslag'!$V$39,IF($B$10=15,'Aktuelle fôrslag'!$V$40,IF($B$10=16,'Aktuelle fôrslag'!$V$41,IF($B$10=17,'Aktuelle fôrslag'!$V$42,IF($B$10=18,'Aktuelle fôrslag'!$V$43,IF($B$10=19,'Aktuelle fôrslag'!$V$44,IF($B$10=20,'Aktuelle fôrslag'!$V$45,IF($B$10=21,'Aktuelle fôrslag'!$V$46,IF($B$10=22,'Aktuelle fôrslag'!$V$47,'Aktuelle fôrslag'!$V$48))))))))))))))))))))))</f>
        <v>0.40000010000000003</v>
      </c>
      <c r="M10" s="406">
        <f>IF($B$10=1,'Aktuelle fôrslag'!$W$26,IF($B$10=2,'Aktuelle fôrslag'!$W$27,IF($B$10=3,'Aktuelle fôrslag'!$W$28,IF($B$10=4,'Aktuelle fôrslag'!$W$29,IF($B$10=5,'Aktuelle fôrslag'!$W$30,IF($B$10=6,'Aktuelle fôrslag'!$W$31,IF($B$10=7,'Aktuelle fôrslag'!$W$32,IF($B$10=8,'Aktuelle fôrslag'!$W$33,IF($B$10=9,'Aktuelle fôrslag'!$W$34,IF($B$10=10,'Aktuelle fôrslag'!$W$35,IF($B$10=11,'Aktuelle fôrslag'!$W$36,IF($B$10=12,'Aktuelle fôrslag'!$W$37,IF($B$10=13,'Aktuelle fôrslag'!$W$38,IF($B$10=14,'Aktuelle fôrslag'!$W$39,IF($B$10=15,'Aktuelle fôrslag'!$W$40,IF($B$10=16,'Aktuelle fôrslag'!$W$41,IF($B$10=17,'Aktuelle fôrslag'!$W$42,IF($B$10=18,'Aktuelle fôrslag'!$W$43,IF($B$10=19,'Aktuelle fôrslag'!$W$44,IF($B$10=20,'Aktuelle fôrslag'!$W$45,IF($B$10=21,'Aktuelle fôrslag'!$W$46,IF($B$10=22,'Aktuelle fôrslag'!$W$47,'Aktuelle fôrslag'!$W$48))))))))))))))))))))))</f>
        <v>0.37542740000000002</v>
      </c>
      <c r="N10" s="406">
        <f>IF($B$10=1,'Aktuelle fôrslag'!$X$26,IF($B$10=2,'Aktuelle fôrslag'!$X$27,IF($B$10=3,'Aktuelle fôrslag'!$X$28,IF($B$10=4,'Aktuelle fôrslag'!$X$29,IF($B$10=5,'Aktuelle fôrslag'!$X$30,IF($B$10=6,'Aktuelle fôrslag'!$X$31,IF($B$10=7,'Aktuelle fôrslag'!$X$32,IF($B$10=8,'Aktuelle fôrslag'!$X$33,IF($B$10=9,'Aktuelle fôrslag'!$X$34,IF($B$10=10,'Aktuelle fôrslag'!$X$35,IF($B$10=11,'Aktuelle fôrslag'!$X$36,IF($B$10=12,'Aktuelle fôrslag'!$X$37,IF($B$10=13,'Aktuelle fôrslag'!$X$38,IF($B$10=14,'Aktuelle fôrslag'!$X$39,IF($B$10=15,'Aktuelle fôrslag'!$X$40,IF($B$10=16,'Aktuelle fôrslag'!$X$41,IF($B$10=17,'Aktuelle fôrslag'!$X$42,IF($B$10=18,'Aktuelle fôrslag'!$X$43,IF($B$10=19,'Aktuelle fôrslag'!$X$44,IF($B$10=20,'Aktuelle fôrslag'!$X$45,IF($B$10=21,'Aktuelle fôrslag'!$X$46,IF($B$10=22,'Aktuelle fôrslag'!$X$47,'Aktuelle fôrslag'!$X$48))))))))))))))))))))))</f>
        <v>114</v>
      </c>
      <c r="O10" s="406">
        <f>IF($B$10=1,'Aktuelle fôrslag'!$Y$26,IF($B$10=2,'Aktuelle fôrslag'!$Y$27,IF($B$10=3,'Aktuelle fôrslag'!$Y$28,IF($B$10=4,'Aktuelle fôrslag'!$Y$29,IF($B$10=5,'Aktuelle fôrslag'!$Y$30,IF($B$10=6,'Aktuelle fôrslag'!$Y$31,IF($B$10=7,'Aktuelle fôrslag'!$Y$32,IF($B$10=8,'Aktuelle fôrslag'!$Y$33,IF($B$10=9,'Aktuelle fôrslag'!$Y$34,IF($B$10=10,'Aktuelle fôrslag'!$Y$35,IF($B$10=11,'Aktuelle fôrslag'!$Y$36,IF($B$10=12,'Aktuelle fôrslag'!$Y$37,IF($B$10=13,'Aktuelle fôrslag'!$Y$38,IF($B$10=14,'Aktuelle fôrslag'!$Y$39,IF($B$10=15,'Aktuelle fôrslag'!$Y$40,IF($B$10=16,'Aktuelle fôrslag'!$Y$41,IF($B$10=17,'Aktuelle fôrslag'!$Y$42,IF($B$10=18,'Aktuelle fôrslag'!$Y$43,IF($B$10=19,'Aktuelle fôrslag'!$Y$44,IF($B$10=20,'Aktuelle fôrslag'!$Y$45,IF($B$10=21,'Aktuelle fôrslag'!$Y$46,IF($B$10=22,'Aktuelle fôrslag'!$Y$47,'Aktuelle fôrslag'!$Y$48))))))))))))))))))))))</f>
        <v>91</v>
      </c>
      <c r="P10" s="406">
        <f>IF($B$10=1,'Aktuelle fôrslag'!$Z$26,IF($B$10=2,'Aktuelle fôrslag'!$Z$27,IF($B$10=3,'Aktuelle fôrslag'!$Z$28,IF($B$10=4,'Aktuelle fôrslag'!$Z$29,IF($B$10=5,'Aktuelle fôrslag'!$Z$30,IF($B$10=6,'Aktuelle fôrslag'!$Z$31,IF($B$10=7,'Aktuelle fôrslag'!$Z$32,IF($B$10=8,'Aktuelle fôrslag'!$Z$33,IF($B$10=9,'Aktuelle fôrslag'!$Z$34,IF($B$10=10,'Aktuelle fôrslag'!$Z$35,IF($B$10=11,'Aktuelle fôrslag'!$Z$36,IF($B$10=12,'Aktuelle fôrslag'!$Z$37,IF($B$10=13,'Aktuelle fôrslag'!$Z$38,IF($B$10=14,'Aktuelle fôrslag'!$Z$39,IF($B$10=15,'Aktuelle fôrslag'!$Z$40,IF($B$10=16,'Aktuelle fôrslag'!$Z$41,IF($B$10=17,'Aktuelle fôrslag'!$Z$42,IF($B$10=18,'Aktuelle fôrslag'!$Z$43,IF($B$10=19,'Aktuelle fôrslag'!$Z$44,IF($B$10=20,'Aktuelle fôrslag'!$Z$45,IF($B$10=21,'Aktuelle fôrslag'!$Z$46,IF($B$10=22,'Aktuelle fôrslag'!$Z$47,'Aktuelle fôrslag'!$Z$48))))))))))))))))))))))</f>
        <v>4.6493779999999996</v>
      </c>
      <c r="Q10" s="406">
        <f>IF($B$10=1,'Aktuelle fôrslag'!$AA$26,IF($B$10=2,'Aktuelle fôrslag'!$AA$27,IF($B$10=3,'Aktuelle fôrslag'!$AA$28,IF($B$10=4,'Aktuelle fôrslag'!$AA$29,IF($B$10=5,'Aktuelle fôrslag'!$AA$30,IF($B$10=6,'Aktuelle fôrslag'!$AA$31,IF($B$10=7,'Aktuelle fôrslag'!$AA$32,IF($B$10=8,'Aktuelle fôrslag'!$AA$33,IF($B$10=9,'Aktuelle fôrslag'!$AA$34,IF($B$10=10,'Aktuelle fôrslag'!$AA$35,IF($B$10=11,'Aktuelle fôrslag'!$AA$36,IF($B$10=12,'Aktuelle fôrslag'!$AA$37,IF($B$10=13,'Aktuelle fôrslag'!$AA$38,IF($B$10=14,'Aktuelle fôrslag'!$AA$39,IF($B$10=15,'Aktuelle fôrslag'!$AA$40,IF($B$10=16,'Aktuelle fôrslag'!$AA$41,IF($B$10=17,'Aktuelle fôrslag'!$AA$42,IF($B$10=18,'Aktuelle fôrslag'!$AA$43,IF($B$10=19,'Aktuelle fôrslag'!$AA$44,IF($B$10=20,'Aktuelle fôrslag'!$AA$45,IF($B$10=21,'Aktuelle fôrslag'!$AA$46,IF($B$10=22,'Aktuelle fôrslag'!$AA$47,'Aktuelle fôrslag'!$AA$48))))))))))))))))))))))</f>
        <v>184</v>
      </c>
      <c r="R10" s="406">
        <f>IF($B$10=1,'Aktuelle fôrslag'!$AB$26,IF($B$10=2,'Aktuelle fôrslag'!$AB$27,IF($B$10=3,'Aktuelle fôrslag'!$AB$28,IF($B$10=4,'Aktuelle fôrslag'!$AB$29,IF($B$10=5,'Aktuelle fôrslag'!$AB$30,IF($B$10=6,'Aktuelle fôrslag'!$AB$31,IF($B$10=7,'Aktuelle fôrslag'!$AB$32,IF($B$10=8,'Aktuelle fôrslag'!$AB$33,IF($B$10=9,'Aktuelle fôrslag'!$AB$34,IF($B$10=10,'Aktuelle fôrslag'!$AB$35,IF($B$10=11,'Aktuelle fôrslag'!$AB$36,IF($B$10=12,'Aktuelle fôrslag'!$AB$37,IF($B$10=13,'Aktuelle fôrslag'!$AB$38,IF($B$10=14,'Aktuelle fôrslag'!$AB$39,IF($B$10=15,'Aktuelle fôrslag'!$AB$40,IF($B$10=16,'Aktuelle fôrslag'!$AB$41,IF($B$10=17,'Aktuelle fôrslag'!$AB$42,IF($B$10=18,'Aktuelle fôrslag'!$AB$43,IF($B$10=19,'Aktuelle fôrslag'!$AB$44,IF($B$10=20,'Aktuelle fôrslag'!$AB$45,IF($B$10=21,'Aktuelle fôrslag'!$AB$46,IF($B$10=22,'Aktuelle fôrslag'!$AB$47,'Aktuelle fôrslag'!$AB$48))))))))))))))))))))))</f>
        <v>200</v>
      </c>
      <c r="T10" s="53" t="s">
        <v>276</v>
      </c>
      <c r="U10" s="53">
        <v>7</v>
      </c>
      <c r="V10" s="53">
        <v>9</v>
      </c>
      <c r="W10" s="53">
        <v>5.0999999999999996</v>
      </c>
      <c r="X10" s="53">
        <v>1.9</v>
      </c>
      <c r="Y10" s="53">
        <v>1.2</v>
      </c>
      <c r="Z10" s="53">
        <v>2.9</v>
      </c>
      <c r="AA10" s="53">
        <v>60</v>
      </c>
      <c r="AB10" s="53">
        <v>48</v>
      </c>
      <c r="AC10" s="53">
        <v>65</v>
      </c>
      <c r="AD10" s="53">
        <v>13.5</v>
      </c>
      <c r="AE10" s="53">
        <v>0.15</v>
      </c>
      <c r="AF10" s="53">
        <v>0.18</v>
      </c>
      <c r="AG10" s="53">
        <v>0.9</v>
      </c>
      <c r="AH10" s="53">
        <v>424</v>
      </c>
    </row>
    <row r="11" spans="1:34" x14ac:dyDescent="0.25">
      <c r="D11" s="358"/>
      <c r="E11" s="358"/>
      <c r="F11" s="358"/>
      <c r="G11" s="358"/>
      <c r="H11" s="358"/>
      <c r="I11" s="359"/>
      <c r="J11" s="358"/>
      <c r="K11" s="360"/>
      <c r="L11" s="360"/>
      <c r="M11" s="360"/>
      <c r="N11" s="361"/>
      <c r="O11" s="360"/>
      <c r="P11" s="360"/>
      <c r="Q11" s="360"/>
      <c r="T11" s="53" t="s">
        <v>277</v>
      </c>
      <c r="U11" s="53">
        <v>9.4</v>
      </c>
      <c r="V11" s="53">
        <v>9.4</v>
      </c>
      <c r="W11" s="53">
        <v>5.8</v>
      </c>
      <c r="X11" s="53">
        <v>2.2000000000000002</v>
      </c>
      <c r="Y11" s="53">
        <v>1.1000000000000001</v>
      </c>
      <c r="Z11" s="53">
        <v>3.2</v>
      </c>
      <c r="AA11" s="53">
        <v>60</v>
      </c>
      <c r="AB11" s="53">
        <v>48</v>
      </c>
      <c r="AC11" s="53">
        <v>65</v>
      </c>
      <c r="AD11" s="53">
        <v>13.5</v>
      </c>
      <c r="AE11" s="53">
        <v>0.15</v>
      </c>
      <c r="AF11" s="53">
        <v>0.2</v>
      </c>
      <c r="AG11" s="53">
        <v>1</v>
      </c>
      <c r="AH11" s="53">
        <v>448</v>
      </c>
    </row>
    <row r="12" spans="1:34" x14ac:dyDescent="0.25">
      <c r="D12" s="69"/>
      <c r="E12" s="26"/>
      <c r="F12" s="26"/>
      <c r="G12" s="26" t="s">
        <v>268</v>
      </c>
      <c r="H12" s="26"/>
      <c r="I12" s="26"/>
      <c r="J12" s="69"/>
      <c r="K12" s="26"/>
      <c r="L12" s="26" t="s">
        <v>269</v>
      </c>
      <c r="M12" s="26"/>
      <c r="N12" s="26"/>
      <c r="O12" s="26"/>
      <c r="P12" s="26"/>
      <c r="Q12" s="27"/>
      <c r="T12" s="53" t="s">
        <v>278</v>
      </c>
      <c r="U12" s="53">
        <v>6.3</v>
      </c>
      <c r="V12" s="53">
        <v>11.1</v>
      </c>
      <c r="W12" s="53">
        <v>5.9</v>
      </c>
      <c r="X12" s="53">
        <v>2.4</v>
      </c>
      <c r="Y12" s="53">
        <v>1.4</v>
      </c>
      <c r="Z12" s="53">
        <v>3.4</v>
      </c>
      <c r="AA12" s="53">
        <v>14</v>
      </c>
      <c r="AB12" s="53">
        <v>27</v>
      </c>
      <c r="AC12" s="53">
        <v>74</v>
      </c>
      <c r="AD12" s="53">
        <v>11.1</v>
      </c>
      <c r="AE12" s="53">
        <v>0.5</v>
      </c>
      <c r="AF12" s="53">
        <v>0.43</v>
      </c>
      <c r="AG12" s="53">
        <v>1.7</v>
      </c>
      <c r="AH12" s="53">
        <v>448</v>
      </c>
    </row>
    <row r="13" spans="1:34" ht="15.75" x14ac:dyDescent="0.25">
      <c r="C13" s="392" t="s">
        <v>279</v>
      </c>
      <c r="D13" s="119" t="s">
        <v>154</v>
      </c>
      <c r="E13" s="119" t="s">
        <v>158</v>
      </c>
      <c r="F13" s="119" t="s">
        <v>155</v>
      </c>
      <c r="G13" s="119" t="s">
        <v>156</v>
      </c>
      <c r="H13" s="119" t="s">
        <v>157</v>
      </c>
      <c r="I13" s="119" t="s">
        <v>160</v>
      </c>
      <c r="J13" s="119" t="s">
        <v>144</v>
      </c>
      <c r="K13" s="119" t="s">
        <v>142</v>
      </c>
      <c r="L13" s="119" t="s">
        <v>141</v>
      </c>
      <c r="M13" s="119" t="s">
        <v>138</v>
      </c>
      <c r="N13" s="119" t="s">
        <v>139</v>
      </c>
      <c r="O13" s="144" t="s">
        <v>140</v>
      </c>
      <c r="P13" s="144" t="s">
        <v>143</v>
      </c>
      <c r="Q13" s="119" t="s">
        <v>183</v>
      </c>
      <c r="T13" s="53" t="s">
        <v>280</v>
      </c>
      <c r="U13" s="53">
        <v>8.5</v>
      </c>
      <c r="V13" s="53">
        <v>12.1</v>
      </c>
      <c r="W13" s="53">
        <v>7.4</v>
      </c>
      <c r="X13" s="53">
        <v>3</v>
      </c>
      <c r="Y13" s="53">
        <v>1.6</v>
      </c>
      <c r="Z13" s="53">
        <v>3.4</v>
      </c>
      <c r="AA13" s="53">
        <v>17</v>
      </c>
      <c r="AB13" s="53">
        <v>31</v>
      </c>
      <c r="AC13" s="53">
        <v>96</v>
      </c>
      <c r="AD13" s="53">
        <v>13.7</v>
      </c>
      <c r="AE13" s="53">
        <v>0.79</v>
      </c>
      <c r="AF13" s="53">
        <v>0.43</v>
      </c>
      <c r="AG13" s="53">
        <v>1.7</v>
      </c>
      <c r="AH13" s="53">
        <v>448</v>
      </c>
    </row>
    <row r="14" spans="1:34" ht="15.75" x14ac:dyDescent="0.25">
      <c r="A14" t="s">
        <v>268</v>
      </c>
      <c r="B14" t="s">
        <v>146</v>
      </c>
      <c r="C14" s="392" t="str">
        <f>Planlegging!C13</f>
        <v>Søye lavdrektig dårleg hold</v>
      </c>
      <c r="D14" s="393" t="e">
        <f>(D5*Planlegging!$D$14)+(Mineraldekning!D6*Planlegging!$D$15)+(Planlegging!F20*Mineraldekning!D10)</f>
        <v>#DIV/0!</v>
      </c>
      <c r="E14" s="393" t="e">
        <f>(E5*Planlegging!$D$14)+(Mineraldekning!E6*Planlegging!$D$15)+(Mineraldekning!H10*Planlegging!$F$20)</f>
        <v>#DIV/0!</v>
      </c>
      <c r="F14" s="393" t="e">
        <f>(F5*Planlegging!$D$14)+(Mineraldekning!F6*Planlegging!$D$15)+(Mineraldekning!E10*Planlegging!$F$20)</f>
        <v>#DIV/0!</v>
      </c>
      <c r="G14" s="393" t="e">
        <f>(G5*Planlegging!$D$14)+(Mineraldekning!G6*Planlegging!$D$15)+(Mineraldekning!P10*Planlegging!$F$20)</f>
        <v>#DIV/0!</v>
      </c>
      <c r="H14" s="393" t="e">
        <f>(H5*Planlegging!$D$14)+(Mineraldekning!H6*Planlegging!$D$15)+(Mineraldekning!G10*Planlegging!$F$20)</f>
        <v>#DIV/0!</v>
      </c>
      <c r="I14" s="393" t="e">
        <f>(I5*Planlegging!$D$14)+(Mineraldekning!I6*Planlegging!$D$15)+(Mineraldekning!J10*Planlegging!$F$20)</f>
        <v>#DIV/0!</v>
      </c>
      <c r="J14" s="393" t="e">
        <f>(J5*Planlegging!$D$14)+(Mineraldekning!J6*Planlegging!$D$15)+(Mineraldekning!Q10*Planlegging!$F$20)</f>
        <v>#DIV/0!</v>
      </c>
      <c r="K14" s="393" t="e">
        <f>(K5*Planlegging!$D$14)+(Mineraldekning!K6*Planlegging!$D$15)+(Mineraldekning!O10*Planlegging!$F$20)</f>
        <v>#DIV/0!</v>
      </c>
      <c r="L14" s="393" t="e">
        <f>(L5*Planlegging!$D$14)+(Mineraldekning!L6*Planlegging!$D$15)+(Mineraldekning!N10*Planlegging!$F$20)</f>
        <v>#DIV/0!</v>
      </c>
      <c r="M14" s="393" t="e">
        <f>(M5*Planlegging!$D$14)+(Mineraldekning!M6*Planlegging!$D$15)+(Mineraldekning!K10*Planlegging!$F$20)</f>
        <v>#DIV/0!</v>
      </c>
      <c r="N14" s="393" t="e">
        <f>(N5*Planlegging!$D$14)+(Mineraldekning!N6*Planlegging!$D$15)+(Mineraldekning!L10*Planlegging!$F$20)</f>
        <v>#DIV/0!</v>
      </c>
      <c r="O14" s="393" t="e">
        <f>(O5*Planlegging!$D$14)+(Mineraldekning!O6*Planlegging!$D$15)+(Mineraldekning!M10*Planlegging!$F$20)</f>
        <v>#DIV/0!</v>
      </c>
      <c r="P14" s="393" t="e">
        <f>(P5*Planlegging!$D$14)+(Mineraldekning!P6*Planlegging!$D$15)+(Mineraldekning!P10*Planlegging!$F$20)</f>
        <v>#DIV/0!</v>
      </c>
      <c r="Q14" s="393" t="e">
        <f>(Q5*Planlegging!$D$14)+(Mineraldekning!Q6*Planlegging!$D$15)+(Mineraldekning!R10*Planlegging!$F$20)</f>
        <v>#DIV/0!</v>
      </c>
      <c r="T14" s="53" t="s">
        <v>281</v>
      </c>
      <c r="U14" s="53">
        <v>11.3</v>
      </c>
      <c r="V14" s="53">
        <v>15.6</v>
      </c>
      <c r="W14" s="53">
        <v>10.3</v>
      </c>
      <c r="X14" s="53">
        <v>3.5</v>
      </c>
      <c r="Y14" s="53">
        <v>1.9</v>
      </c>
      <c r="Z14" s="53">
        <v>5</v>
      </c>
      <c r="AA14" s="53">
        <v>18</v>
      </c>
      <c r="AB14" s="53">
        <v>35</v>
      </c>
      <c r="AC14" s="53">
        <v>113</v>
      </c>
      <c r="AD14" s="53">
        <v>15.7</v>
      </c>
      <c r="AE14" s="53">
        <v>1.01</v>
      </c>
      <c r="AF14" s="53">
        <v>0.62</v>
      </c>
      <c r="AG14" s="53">
        <v>2.5</v>
      </c>
      <c r="AH14" s="53">
        <v>448</v>
      </c>
    </row>
    <row r="15" spans="1:34" ht="15.75" x14ac:dyDescent="0.25">
      <c r="A15" s="340">
        <v>0</v>
      </c>
      <c r="B15" s="340">
        <v>1</v>
      </c>
      <c r="C15" s="383" t="str">
        <f>IF($B$15=1,'Aktuelle fôrslag'!$B$53,IF($B$15=2,'Aktuelle fôrslag'!$B$54,IF($B$15=3,'Aktuelle fôrslag'!$B$55,IF($B$15=4,'Aktuelle fôrslag'!$B$56,IF($B$15=5,'Aktuelle fôrslag'!$B$57,IF($B$15=6,'Aktuelle fôrslag'!$B$58,IF($B$15=7,'Aktuelle fôrslag'!$B$59,IF($B$15=8,'Aktuelle fôrslag'!$B$60,IF($B$15=9,'Aktuelle fôrslag'!$B$61,IF($B$15=10,'Aktuelle fôrslag'!$B$62,IF($B$15=11,'Aktuelle fôrslag'!$B$63,IF($B$15=12,'Aktuelle fôrslag'!$B$64,IF($B$15=13,'Aktuelle fôrslag'!$B$65,IF($B$15=14,'Aktuelle fôrslag'!$B$66,IF($B$15=15,'Aktuelle fôrslag'!$B$67,IF($B$15=16,'Aktuelle fôrslag'!$B$68,IF($B$15=17,'Aktuelle fôrslag'!$B$69,IF($B$15=18,'Aktuelle fôrslag'!$B$70,IF($B$15=19,'Aktuelle fôrslag'!$B$71,'Aktuelle fôrslag'!$B$72)))))))))))))))))))</f>
        <v>Pluss Sau, pellets</v>
      </c>
      <c r="D15" s="186">
        <f>((IF($B$15=1,'Aktuelle fôrslag'!$C$53,IF($B$15=2,'Aktuelle fôrslag'!$C$54,IF($B$15=3,'Aktuelle fôrslag'!$C$55,IF($B$15=4,'Aktuelle fôrslag'!$C$56,IF($B$15=5,'Aktuelle fôrslag'!$C$57,IF($B$15=6,'Aktuelle fôrslag'!$C$58,IF($B$15=7,'Aktuelle fôrslag'!$C$59,IF($B$15=8,'Aktuelle fôrslag'!$C$60,IF($B$15=9,'Aktuelle fôrslag'!$C$61,IF($B$15=10,'Aktuelle fôrslag'!$C$62,IF($B$15=11,'Aktuelle fôrslag'!$C$63,IF($B$15=12,'Aktuelle fôrslag'!$C$64,IF($B$15=13,'Aktuelle fôrslag'!$C$65,IF($B$15=14,'Aktuelle fôrslag'!$C$66,IF($B$15=15,'Aktuelle fôrslag'!$C$67,IF($B$15=16,'Aktuelle fôrslag'!$C$68,IF($B$15=17,'Aktuelle fôrslag'!$C$69,IF($B$15=18,'Aktuelle fôrslag'!$C$70,IF($B$15=19,'Aktuelle fôrslag'!$C$71,'Aktuelle fôrslag'!$C$72))))))))))))))))))))/1000)*$A$15</f>
        <v>0</v>
      </c>
      <c r="E15" s="186">
        <f>((IF($B$15=1,'Aktuelle fôrslag'!$G$53,IF($B$15=2,'Aktuelle fôrslag'!$G$54,IF($B$15=3,'Aktuelle fôrslag'!$G$55,IF($B$15=4,'Aktuelle fôrslag'!$G$56,IF($B$15=5,'Aktuelle fôrslag'!$G$57,IF($B$15=6,'Aktuelle fôrslag'!$G$58,IF($B$15=7,'Aktuelle fôrslag'!$G$59,IF($B$15=8,'Aktuelle fôrslag'!$G$60,IF($B$15=9,'Aktuelle fôrslag'!$G$61,IF($B$15=10,'Aktuelle fôrslag'!$G$62,IF($B$15=11,'Aktuelle fôrslag'!$G$63,IF($B$15=12,'Aktuelle fôrslag'!$G$64,IF($B$15=13,'Aktuelle fôrslag'!$G$65,IF($B$15=14,'Aktuelle fôrslag'!$G$66,IF($B$15=15,'Aktuelle fôrslag'!$G$67,IF($B$15=16,'Aktuelle fôrslag'!$G$68,IF($B$15=17,'Aktuelle fôrslag'!$G$69,IF($B$15=18,'Aktuelle fôrslag'!$G$70,IF($B$15=19,'Aktuelle fôrslag'!$G$71,'Aktuelle fôrslag'!$G$72))))))))))))))))))))/1000)*$A$15</f>
        <v>0</v>
      </c>
      <c r="F15" s="186">
        <f>((IF($B$15=1,'Aktuelle fôrslag'!$D$53,IF($B$15=2,'Aktuelle fôrslag'!$D$54,IF($B$15=3,'Aktuelle fôrslag'!$D$55,IF($B$15=4,'Aktuelle fôrslag'!$D$56,IF($B$15=5,'Aktuelle fôrslag'!$D$57,IF($B$15=6,'Aktuelle fôrslag'!$D$58,IF($B$15=7,'Aktuelle fôrslag'!$D$59,IF($B$15=8,'Aktuelle fôrslag'!$D$60,IF($B$15=9,'Aktuelle fôrslag'!$D$61,IF($B$15=10,'Aktuelle fôrslag'!$D$62,IF($B$15=11,'Aktuelle fôrslag'!$D$63,IF($B$15=12,'Aktuelle fôrslag'!$D$64,IF($B$15=13,'Aktuelle fôrslag'!$D$65,IF($B$15=14,'Aktuelle fôrslag'!$D$66,IF($B$15=15,'Aktuelle fôrslag'!$D$67,IF($B$15=16,'Aktuelle fôrslag'!$D$68,IF($B$15=17,'Aktuelle fôrslag'!$D$69,IF($B$15=18,'Aktuelle fôrslag'!$D$70,IF($B$15=19,'Aktuelle fôrslag'!$D$71,'Aktuelle fôrslag'!$D$72))))))))))))))))))))/1000)*$A$15</f>
        <v>0</v>
      </c>
      <c r="G15" s="186">
        <f>((IF($B$15=1,'Aktuelle fôrslag'!$E$53,IF($B$15=2,'Aktuelle fôrslag'!$E$54,IF($B$15=3,'Aktuelle fôrslag'!$E$55,IF($B$15=4,'Aktuelle fôrslag'!$E$56,IF($B$15=5,'Aktuelle fôrslag'!$E$57,IF($B$15=6,'Aktuelle fôrslag'!$E$58,IF($B$15=7,'Aktuelle fôrslag'!$E$59,IF($B$15=8,'Aktuelle fôrslag'!$E$60,IF($B$15=9,'Aktuelle fôrslag'!$E$61,IF($B$15=10,'Aktuelle fôrslag'!$E$62,IF($B$15=11,'Aktuelle fôrslag'!$E$63,IF($B$15=12,'Aktuelle fôrslag'!$E$64,IF($B$15=13,'Aktuelle fôrslag'!$E$65,IF($B$15=14,'Aktuelle fôrslag'!$E$66,IF($B$15=15,'Aktuelle fôrslag'!$E$67,IF($B$15=16,'Aktuelle fôrslag'!$E$68,IF($B$15=17,'Aktuelle fôrslag'!$E$69,IF($B$15=18,'Aktuelle fôrslag'!$E$70,IF($B$15=19,'Aktuelle fôrslag'!$E$71,'Aktuelle fôrslag'!$E$72))))))))))))))))))))/1000)*$A$15</f>
        <v>0</v>
      </c>
      <c r="H15" s="186">
        <f>((IF($B$15=1,'Aktuelle fôrslag'!$F$53,IF($B$15=2,'Aktuelle fôrslag'!$F$54,IF($B$15=3,'Aktuelle fôrslag'!$F$55,IF($B$15=4,'Aktuelle fôrslag'!$F$56,IF($B$15=5,'Aktuelle fôrslag'!$F$57,IF($B$15=6,'Aktuelle fôrslag'!$F$58,IF($B$15=7,'Aktuelle fôrslag'!$F$59,IF($B$15=8,'Aktuelle fôrslag'!$F$60,IF($B$15=9,'Aktuelle fôrslag'!$F$61,IF($B$15=10,'Aktuelle fôrslag'!$F$62,IF($B$15=11,'Aktuelle fôrslag'!$F$63,IF($B$15=12,'Aktuelle fôrslag'!$F$64,IF($B$15=13,'Aktuelle fôrslag'!$F$65,IF($B$15=14,'Aktuelle fôrslag'!$F$66,IF($B$15=15,'Aktuelle fôrslag'!$F$67,IF($B$15=16,'Aktuelle fôrslag'!$F$68,IF($B$15=17,'Aktuelle fôrslag'!$F$69,IF($B$15=18,'Aktuelle fôrslag'!$F$70,IF($B$15=19,'Aktuelle fôrslag'!$F$71,'Aktuelle fôrslag'!$F$72))))))))))))))))))))/1000)*$A$15</f>
        <v>0</v>
      </c>
      <c r="I15" s="186">
        <f>((IF($B$15=1,'Aktuelle fôrslag'!$I$53,IF($B$15=2,'Aktuelle fôrslag'!$I$54,IF($B$15=3,'Aktuelle fôrslag'!$I$55,IF($B$15=4,'Aktuelle fôrslag'!$I$56,IF($B$15=5,'Aktuelle fôrslag'!$I$57,IF($B$15=6,'Aktuelle fôrslag'!$I$58,IF($B$15=7,'Aktuelle fôrslag'!$I$59,IF($B$15=8,'Aktuelle fôrslag'!$I$60,IF($B$15=9,'Aktuelle fôrslag'!$I$61,IF($B$15=10,'Aktuelle fôrslag'!$I$62,IF($B$15=11,'Aktuelle fôrslag'!$I$63,IF($B$15=12,'Aktuelle fôrslag'!$I$64,IF($B$15=13,'Aktuelle fôrslag'!$I$65,IF($B$15=14,'Aktuelle fôrslag'!$I$66,IF($B$15=15,'Aktuelle fôrslag'!$I$67,IF($B$15=16,'Aktuelle fôrslag'!$I$68,IF($B$15=17,'Aktuelle fôrslag'!$I$69,IF($B$15=18,'Aktuelle fôrslag'!$I$70,IF($B$15=19,'Aktuelle fôrslag'!$I$71,'Aktuelle fôrslag'!$I$72))))))))))))))))))))/1000)*$A$15</f>
        <v>0</v>
      </c>
      <c r="J15" s="186">
        <f>((IF($B$15=1,'Aktuelle fôrslag'!$T$53,IF($B$15=2,'Aktuelle fôrslag'!$T$54,IF($B$15=3,'Aktuelle fôrslag'!$T$55,IF($B$15=4,'Aktuelle fôrslag'!$T$56,IF($B$15=5,'Aktuelle fôrslag'!$T$57,IF($B$15=6,'Aktuelle fôrslag'!$T$58,IF($B$15=7,'Aktuelle fôrslag'!$T$59,IF($B$15=8,'Aktuelle fôrslag'!$T$60,IF($B$15=9,'Aktuelle fôrslag'!$T$61,IF($B$15=10,'Aktuelle fôrslag'!$T$62,IF($B$15=11,'Aktuelle fôrslag'!$T$63,IF($B$15=12,'Aktuelle fôrslag'!$T$64,IF($B$15=13,'Aktuelle fôrslag'!$T$65,IF($B$15=14,'Aktuelle fôrslag'!$T$66,IF($B$15=15,'Aktuelle fôrslag'!$T$67,IF($B$15=16,'Aktuelle fôrslag'!$T$68,IF($B$15=17,'Aktuelle fôrslag'!$T$69,IF($B$15=18,'Aktuelle fôrslag'!$T$70,IF($B$15=19,'Aktuelle fôrslag'!$T$71,'Aktuelle fôrslag'!$T$72))))))))))))))))))))/1000)*$A$15</f>
        <v>0</v>
      </c>
      <c r="K15" s="186">
        <f>((IF($B$15=1,'Aktuelle fôrslag'!$R$53,IF($B$15=2,'Aktuelle fôrslag'!$R$54,IF($B$15=3,'Aktuelle fôrslag'!$R$55,IF($B$15=4,'Aktuelle fôrslag'!$R$56,IF($B$15=5,'Aktuelle fôrslag'!$R$57,IF($B$15=6,'Aktuelle fôrslag'!$R$58,IF($B$15=7,'Aktuelle fôrslag'!$R$59,IF($B$15=8,'Aktuelle fôrslag'!$R$60,IF($B$15=9,'Aktuelle fôrslag'!$R$61,IF($B$15=10,'Aktuelle fôrslag'!$R$62,IF($B$15=11,'Aktuelle fôrslag'!$R$63,IF($B$15=12,'Aktuelle fôrslag'!$R$64,IF($B$15=13,'Aktuelle fôrslag'!$R$65,IF($B$15=14,'Aktuelle fôrslag'!$R$66,IF($B$15=15,'Aktuelle fôrslag'!$R$67,IF($B$15=16,'Aktuelle fôrslag'!$R$68,IF($B$15=17,'Aktuelle fôrslag'!$R$69,IF($B$15=18,'Aktuelle fôrslag'!$R$70,IF($B$15=19,'Aktuelle fôrslag'!$R$71,'Aktuelle fôrslag'!$R$72))))))))))))))))))))/1000)*$A$15</f>
        <v>0</v>
      </c>
      <c r="L15" s="186">
        <f>((IF($B$15=1,'Aktuelle fôrslag'!$Q$53,IF($B$15=2,'Aktuelle fôrslag'!$Q$54,IF($B$15=3,'Aktuelle fôrslag'!$Q$55,IF($B$15=4,'Aktuelle fôrslag'!$Q$56,IF($B$15=5,'Aktuelle fôrslag'!$Q$57,IF($B$15=6,'Aktuelle fôrslag'!$Q$58,IF($B$15=7,'Aktuelle fôrslag'!$Q$59,IF($B$15=8,'Aktuelle fôrslag'!$Q$60,IF($B$15=9,'Aktuelle fôrslag'!$Q$61,IF($B$15=10,'Aktuelle fôrslag'!$Q$62,IF($B$15=11,'Aktuelle fôrslag'!$Q$63,IF($B$15=12,'Aktuelle fôrslag'!$Q$64,IF($B$15=13,'Aktuelle fôrslag'!$Q$65,IF($B$15=14,'Aktuelle fôrslag'!$Q$66,IF($B$15=15,'Aktuelle fôrslag'!$Q$67,IF($B$15=16,'Aktuelle fôrslag'!$Q$68,IF($B$15=17,'Aktuelle fôrslag'!$Q$69,IF($B$15=18,'Aktuelle fôrslag'!$Q$70,IF($B$15=19,'Aktuelle fôrslag'!$Q$71,'Aktuelle fôrslag'!$Q$72))))))))))))))))))))/1000)*$A$15</f>
        <v>0</v>
      </c>
      <c r="M15" s="186">
        <f>((IF($B$15=1,'Aktuelle fôrslag'!$N$53,IF($B$15=2,'Aktuelle fôrslag'!$N$54,IF($B$15=3,'Aktuelle fôrslag'!$N$55,IF($B$15=4,'Aktuelle fôrslag'!$N$56,IF($B$15=5,'Aktuelle fôrslag'!$N$57,IF($B$15=6,'Aktuelle fôrslag'!$N$58,IF($B$15=7,'Aktuelle fôrslag'!$N$59,IF($B$15=8,'Aktuelle fôrslag'!$N$60,IF($B$15=9,'Aktuelle fôrslag'!$N$61,IF($B$15=10,'Aktuelle fôrslag'!$N$62,IF($B$15=11,'Aktuelle fôrslag'!$N$63,IF($B$15=12,'Aktuelle fôrslag'!$N$64,IF($B$15=13,'Aktuelle fôrslag'!$N$65,IF($B$15=14,'Aktuelle fôrslag'!$N$66,IF($B$15=15,'Aktuelle fôrslag'!$N$67,IF($B$15=16,'Aktuelle fôrslag'!$N$68,IF($B$15=17,'Aktuelle fôrslag'!$N$69,IF($B$15=18,'Aktuelle fôrslag'!$N$70,IF($B$15=19,'Aktuelle fôrslag'!$N$71,'Aktuelle fôrslag'!$N$72))))))))))))))))))))/1000)*$A$15</f>
        <v>0</v>
      </c>
      <c r="N15" s="186">
        <f>((IF($B$15=1,'Aktuelle fôrslag'!$O$53,IF($B$15=2,'Aktuelle fôrslag'!$O$54,IF($B$15=3,'Aktuelle fôrslag'!$O$55,IF($B$15=4,'Aktuelle fôrslag'!$O$56,IF($B$15=5,'Aktuelle fôrslag'!$O$57,IF($B$15=6,'Aktuelle fôrslag'!$O$58,IF($B$15=7,'Aktuelle fôrslag'!$O$59,IF($B$15=8,'Aktuelle fôrslag'!$O$60,IF($B$15=9,'Aktuelle fôrslag'!$O$61,IF($B$15=10,'Aktuelle fôrslag'!$O$62,IF($B$15=11,'Aktuelle fôrslag'!$O$63,IF($B$15=12,'Aktuelle fôrslag'!$O$64,IF($B$15=13,'Aktuelle fôrslag'!$O$65,IF($B$15=14,'Aktuelle fôrslag'!$O$66,IF($B$15=15,'Aktuelle fôrslag'!$O$67,IF($B$15=16,'Aktuelle fôrslag'!$O$68,IF($B$15=17,'Aktuelle fôrslag'!$O$69,IF($B$15=18,'Aktuelle fôrslag'!$O$70,IF($B$15=19,'Aktuelle fôrslag'!$O$71,'Aktuelle fôrslag'!$O$72))))))))))))))))))))/1000)*$A$15</f>
        <v>0</v>
      </c>
      <c r="O15" s="186">
        <f>((IF($B$15=1,'Aktuelle fôrslag'!$P$53,IF($B$15=2,'Aktuelle fôrslag'!$P$54,IF($B$15=3,'Aktuelle fôrslag'!$P$55,IF($B$15=4,'Aktuelle fôrslag'!$P$56,IF($B$15=5,'Aktuelle fôrslag'!$P$57,IF($B$15=6,'Aktuelle fôrslag'!$P$58,IF($B$15=7,'Aktuelle fôrslag'!$P$59,IF($B$15=8,'Aktuelle fôrslag'!$P$60,IF($B$15=9,'Aktuelle fôrslag'!$P$61,IF($B$15=10,'Aktuelle fôrslag'!$P$62,IF($B$15=11,'Aktuelle fôrslag'!$P$63,IF($B$15=12,'Aktuelle fôrslag'!$P$64,IF($B$15=13,'Aktuelle fôrslag'!$P$65,IF($B$15=14,'Aktuelle fôrslag'!$P$66,IF($B$15=15,'Aktuelle fôrslag'!$P$67,IF($B$15=16,'Aktuelle fôrslag'!$P$68,IF($B$15=17,'Aktuelle fôrslag'!$P$69,IF($B$15=18,'Aktuelle fôrslag'!$P$70,IF($B$15=19,'Aktuelle fôrslag'!$P$71,'Aktuelle fôrslag'!$P$72))))))))))))))))))))/1000)*$A$15</f>
        <v>0</v>
      </c>
      <c r="P15" s="186">
        <f>((IF($B$15=1,'Aktuelle fôrslag'!$S$53,IF($B$15=2,'Aktuelle fôrslag'!$S$54,IF($B$15=3,'Aktuelle fôrslag'!$S$55,IF($B$15=4,'Aktuelle fôrslag'!$S$56,IF($B$15=5,'Aktuelle fôrslag'!$S$57,IF($B$15=6,'Aktuelle fôrslag'!$S$58,IF($B$15=7,'Aktuelle fôrslag'!$S$59,IF($B$15=8,'Aktuelle fôrslag'!$S$60,IF($B$15=9,'Aktuelle fôrslag'!$S$61,IF($B$15=10,'Aktuelle fôrslag'!$S$62,IF($B$15=11,'Aktuelle fôrslag'!$S$63,IF($B$15=12,'Aktuelle fôrslag'!$S$64,IF($B$15=13,'Aktuelle fôrslag'!$S$65,IF($B$15=14,'Aktuelle fôrslag'!$S$66,IF($B$15=15,'Aktuelle fôrslag'!$S$67,IF($B$15=16,'Aktuelle fôrslag'!$S$68,IF($B$15=17,'Aktuelle fôrslag'!$S$69,IF($B$15=18,'Aktuelle fôrslag'!$S$70,IF($B$15=19,'Aktuelle fôrslag'!$S$71,'Aktuelle fôrslag'!$S$72))))))))))))))))))))/1000)*$A$15</f>
        <v>0</v>
      </c>
      <c r="Q15" s="186">
        <f>((IF($B$15=1,'Aktuelle fôrslag'!$M$53,IF($B$15=2,'Aktuelle fôrslag'!$M$54,IF($B$15=3,'Aktuelle fôrslag'!$M$55,IF($B$15=4,'Aktuelle fôrslag'!$M$56,IF($B$15=5,'Aktuelle fôrslag'!$M$57,IF($B$15=6,'Aktuelle fôrslag'!$M$58,IF($B$15=7,'Aktuelle fôrslag'!$M$59,IF($B$15=8,'Aktuelle fôrslag'!$M$60,IF($B$15=9,'Aktuelle fôrslag'!$M$61,IF($B$15=10,'Aktuelle fôrslag'!$M$62,IF($B$15=11,'Aktuelle fôrslag'!$M$63,IF($B$15=12,'Aktuelle fôrslag'!$M$64,IF($B$15=13,'Aktuelle fôrslag'!$M$65,IF($B$15=14,'Aktuelle fôrslag'!$M$66,IF($B$15=15,'Aktuelle fôrslag'!$M$67,IF($B$15=16,'Aktuelle fôrslag'!$M$68,IF($B$15=17,'Aktuelle fôrslag'!$M$69,IF($B$15=18,'Aktuelle fôrslag'!$M$70,IF($B$15=19,'Aktuelle fôrslag'!$M$71,'Aktuelle fôrslag'!$M$72))))))))))))))))))))/1000)*$A$15</f>
        <v>0</v>
      </c>
    </row>
    <row r="16" spans="1:34" ht="15.75" x14ac:dyDescent="0.25">
      <c r="A16" s="340">
        <v>0</v>
      </c>
      <c r="B16" s="340">
        <v>9</v>
      </c>
      <c r="C16" s="383" t="str">
        <f>IF($B$16=1,'Aktuelle fôrslag'!$B$53,IF($B$16=2,'Aktuelle fôrslag'!$B$54,IF($B$16=3,'Aktuelle fôrslag'!$B$55,IF($B$16=4,'Aktuelle fôrslag'!$B$56,IF($B$16=5,'Aktuelle fôrslag'!$B$57,IF($B$16=6,'Aktuelle fôrslag'!$B$58,IF($B$16=7,'Aktuelle fôrslag'!$B$59,IF($B$16=8,'Aktuelle fôrslag'!$B$60,IF($B$16=9,'Aktuelle fôrslag'!$B$61,IF($B$16=10,'Aktuelle fôrslag'!$B$62,IF($B$16=11,'Aktuelle fôrslag'!$B$63,IF($B$16=12,'Aktuelle fôrslag'!$B$64,IF($B$16=13,'Aktuelle fôrslag'!$B$65,IF($B$16=14,'Aktuelle fôrslag'!$B$66,IF($B$16=15,'Aktuelle fôrslag'!$B$67,IF($B$16=16,'Aktuelle fôrslag'!$B$68,IF($B$16=17,'Aktuelle fôrslag'!$B$69,IF($B$16=18,'Aktuelle fôrslag'!$B$70,IF($B$16=19,'Aktuelle fôrslag'!$B$71,'Aktuelle fôrslag'!$B$72)))))))))))))))))))</f>
        <v>Pluss Saltslikkestein Hvit</v>
      </c>
      <c r="D16" s="186">
        <f>((IF($B$16=1,'Aktuelle fôrslag'!$C$53,IF($B$16=2,'Aktuelle fôrslag'!$C$54,IF($B$16=3,'Aktuelle fôrslag'!$C$55,IF($B$16=4,'Aktuelle fôrslag'!$C$56,IF($B$16=5,'Aktuelle fôrslag'!$C$57,IF($B$16=6,'Aktuelle fôrslag'!$C$58,IF($B$16=7,'Aktuelle fôrslag'!$C$59,IF($B$16=8,'Aktuelle fôrslag'!$C$60,IF($B$16=9,'Aktuelle fôrslag'!$C$61,IF($B$16=10,'Aktuelle fôrslag'!$C$62,IF($B$16=11,'Aktuelle fôrslag'!$C$63,IF($B$16=12,'Aktuelle fôrslag'!$C$64,IF($B$16=13,'Aktuelle fôrslag'!$C$65,IF($B$16=14,'Aktuelle fôrslag'!$C$66,IF($B$16=15,'Aktuelle fôrslag'!$C$67,IF($B$16=16,'Aktuelle fôrslag'!$C$68,IF($B$16=17,'Aktuelle fôrslag'!$C$69,IF($B$16=18,'Aktuelle fôrslag'!$C$70,IF($B$16=19,'Aktuelle fôrslag'!$C$71,'Aktuelle fôrslag'!$C$72))))))))))))))))))))/1000)*$A$16</f>
        <v>0</v>
      </c>
      <c r="E16" s="186">
        <f>((IF($B$16=1,'Aktuelle fôrslag'!$G$53,IF($B$16=2,'Aktuelle fôrslag'!$G$54,IF($B$16=3,'Aktuelle fôrslag'!$G$55,IF($B$16=4,'Aktuelle fôrslag'!$G$56,IF($B$16=5,'Aktuelle fôrslag'!$G$57,IF($B$16=6,'Aktuelle fôrslag'!$G$58,IF($B$16=7,'Aktuelle fôrslag'!$G$59,IF($B$16=8,'Aktuelle fôrslag'!$G$60,IF($B$16=9,'Aktuelle fôrslag'!$G$61,IF($B$16=10,'Aktuelle fôrslag'!$G$62,IF($B$16=11,'Aktuelle fôrslag'!$G$63,IF($B$16=12,'Aktuelle fôrslag'!$G$64,IF($B$16=13,'Aktuelle fôrslag'!$G$65,IF($B$16=14,'Aktuelle fôrslag'!$G$66,IF($B$16=15,'Aktuelle fôrslag'!$G$67,IF($B$16=16,'Aktuelle fôrslag'!$G$68,IF($B$16=17,'Aktuelle fôrslag'!$G$69,IF($B$16=18,'Aktuelle fôrslag'!$G$70,IF($B$16=19,'Aktuelle fôrslag'!$G$71,'Aktuelle fôrslag'!$G$72))))))))))))))))))))/1000)*$A$16</f>
        <v>0</v>
      </c>
      <c r="F16" s="186">
        <f>((IF($B$16=1,'Aktuelle fôrslag'!$D$53,IF($B$16=2,'Aktuelle fôrslag'!$D$54,IF($B$16=3,'Aktuelle fôrslag'!$D$55,IF($B$16=4,'Aktuelle fôrslag'!$D$56,IF($B$16=5,'Aktuelle fôrslag'!$D$57,IF($B$16=6,'Aktuelle fôrslag'!$D$58,IF($B$16=7,'Aktuelle fôrslag'!$D$59,IF($B$16=8,'Aktuelle fôrslag'!$D$60,IF($B$16=9,'Aktuelle fôrslag'!$D$61,IF($B$16=10,'Aktuelle fôrslag'!$D$62,IF($B$16=11,'Aktuelle fôrslag'!$D$63,IF($B$16=12,'Aktuelle fôrslag'!$D$64,IF($B$16=13,'Aktuelle fôrslag'!$D$65,IF($B$16=14,'Aktuelle fôrslag'!$D$66,IF($B$16=15,'Aktuelle fôrslag'!$D$67,IF($B$16=16,'Aktuelle fôrslag'!$D$68,IF($B$16=17,'Aktuelle fôrslag'!$D$69,IF($B$16=18,'Aktuelle fôrslag'!$D$70,IF($B$16=19,'Aktuelle fôrslag'!$D$71,'Aktuelle fôrslag'!$D$72))))))))))))))))))))/1000)*$A$16</f>
        <v>0</v>
      </c>
      <c r="G16" s="186">
        <f>((IF($B$16=1,'Aktuelle fôrslag'!$E$53,IF($B$16=2,'Aktuelle fôrslag'!$E$54,IF($B$16=3,'Aktuelle fôrslag'!$E$55,IF($B$16=4,'Aktuelle fôrslag'!$E$56,IF($B$16=5,'Aktuelle fôrslag'!$E$57,IF($B$16=6,'Aktuelle fôrslag'!$E$58,IF($B$16=7,'Aktuelle fôrslag'!$E$59,IF($B$16=8,'Aktuelle fôrslag'!$E$60,IF($B$16=9,'Aktuelle fôrslag'!$E$61,IF($B$16=10,'Aktuelle fôrslag'!$E$62,IF($B$16=11,'Aktuelle fôrslag'!$E$63,IF($B$16=12,'Aktuelle fôrslag'!$E$64,IF($B$16=13,'Aktuelle fôrslag'!$E$65,IF($B$16=14,'Aktuelle fôrslag'!$E$66,IF($B$16=15,'Aktuelle fôrslag'!$E$67,IF($B$16=16,'Aktuelle fôrslag'!$E$68,IF($B$16=17,'Aktuelle fôrslag'!$E$69,IF($B$16=18,'Aktuelle fôrslag'!$E$70,IF($B$16=19,'Aktuelle fôrslag'!$E$71,'Aktuelle fôrslag'!$E$72))))))))))))))))))))/1000)*$A$16</f>
        <v>0</v>
      </c>
      <c r="H16" s="186">
        <f>((IF($B$16=1,'Aktuelle fôrslag'!$F$53,IF($B$16=2,'Aktuelle fôrslag'!$F$54,IF($B$16=3,'Aktuelle fôrslag'!$F$55,IF($B$16=4,'Aktuelle fôrslag'!$F$56,IF($B$16=5,'Aktuelle fôrslag'!$F$57,IF($B$16=6,'Aktuelle fôrslag'!$F$58,IF($B$16=7,'Aktuelle fôrslag'!$F$59,IF($B$16=8,'Aktuelle fôrslag'!$F$60,IF($B$16=9,'Aktuelle fôrslag'!$F$61,IF($B$16=10,'Aktuelle fôrslag'!$F$62,IF($B$16=11,'Aktuelle fôrslag'!$F$63,IF($B$16=12,'Aktuelle fôrslag'!$F$64,IF($B$16=13,'Aktuelle fôrslag'!$F$65,IF($B$16=14,'Aktuelle fôrslag'!$F$66,IF($B$16=15,'Aktuelle fôrslag'!$F$67,IF($B$16=16,'Aktuelle fôrslag'!$F$68,IF($B$16=17,'Aktuelle fôrslag'!$F$69,IF($B$16=18,'Aktuelle fôrslag'!$F$70,IF($B$16=19,'Aktuelle fôrslag'!$F$71,'Aktuelle fôrslag'!$F$72))))))))))))))))))))/1000)*$A$16</f>
        <v>0</v>
      </c>
      <c r="I16" s="186">
        <f>((IF($B$16=1,'Aktuelle fôrslag'!$I$53,IF($B$16=2,'Aktuelle fôrslag'!$I$54,IF($B$16=3,'Aktuelle fôrslag'!$I$55,IF($B$16=4,'Aktuelle fôrslag'!$I$56,IF($B$16=5,'Aktuelle fôrslag'!$I$57,IF($B$16=6,'Aktuelle fôrslag'!$I$58,IF($B$16=7,'Aktuelle fôrslag'!$I$59,IF($B$16=8,'Aktuelle fôrslag'!$I$60,IF($B$16=9,'Aktuelle fôrslag'!$I$61,IF($B$16=10,'Aktuelle fôrslag'!$I$62,IF($B$16=11,'Aktuelle fôrslag'!$I$63,IF($B$16=12,'Aktuelle fôrslag'!$I$64,IF($B$16=13,'Aktuelle fôrslag'!$I$65,IF($B$16=14,'Aktuelle fôrslag'!$I$66,IF($B$16=15,'Aktuelle fôrslag'!$I$67,IF($B$16=16,'Aktuelle fôrslag'!$I$68,IF($B$16=17,'Aktuelle fôrslag'!$I$69,IF($B$16=18,'Aktuelle fôrslag'!$I$70,IF($B$16=19,'Aktuelle fôrslag'!$I$71,'Aktuelle fôrslag'!$I$72))))))))))))))))))))/1000)*$A$16</f>
        <v>0</v>
      </c>
      <c r="J16" s="186">
        <f>((IF($B$16=1,'Aktuelle fôrslag'!$T$53,IF($B$16=2,'Aktuelle fôrslag'!$T$54,IF($B$16=3,'Aktuelle fôrslag'!$T$55,IF($B$16=4,'Aktuelle fôrslag'!$T$56,IF($B$16=5,'Aktuelle fôrslag'!$T$57,IF($B$16=6,'Aktuelle fôrslag'!$T$58,IF($B$16=7,'Aktuelle fôrslag'!$T$59,IF($B$16=8,'Aktuelle fôrslag'!$T$60,IF($B$16=9,'Aktuelle fôrslag'!$T$61,IF($B$16=10,'Aktuelle fôrslag'!$T$62,IF($B$16=11,'Aktuelle fôrslag'!$T$63,IF($B$16=12,'Aktuelle fôrslag'!$T$64,IF($B$16=13,'Aktuelle fôrslag'!$T$65,IF($B$16=14,'Aktuelle fôrslag'!$T$66,IF($B$16=15,'Aktuelle fôrslag'!$T$67,IF($B$16=16,'Aktuelle fôrslag'!$T$68,IF($B$16=17,'Aktuelle fôrslag'!$T$69,IF($B$16=18,'Aktuelle fôrslag'!$T$70,IF($B$16=19,'Aktuelle fôrslag'!$T$71,'Aktuelle fôrslag'!$T$72))))))))))))))))))))/1000)*$A$16</f>
        <v>0</v>
      </c>
      <c r="K16" s="186">
        <f>((IF($B$16=1,'Aktuelle fôrslag'!$R$53,IF($B$16=2,'Aktuelle fôrslag'!$R$54,IF($B$16=3,'Aktuelle fôrslag'!$R$55,IF($B$16=4,'Aktuelle fôrslag'!$R$56,IF($B$16=5,'Aktuelle fôrslag'!$R$57,IF($B$16=6,'Aktuelle fôrslag'!$R$58,IF($B$16=7,'Aktuelle fôrslag'!$R$59,IF($B$16=8,'Aktuelle fôrslag'!$R$60,IF($B$16=9,'Aktuelle fôrslag'!$R$61,IF($B$16=10,'Aktuelle fôrslag'!$R$62,IF($B$16=11,'Aktuelle fôrslag'!$R$63,IF($B$16=12,'Aktuelle fôrslag'!$R$64,IF($B$16=13,'Aktuelle fôrslag'!$R$65,IF($B$16=14,'Aktuelle fôrslag'!$R$66,IF($B$16=15,'Aktuelle fôrslag'!$R$67,IF($B$16=16,'Aktuelle fôrslag'!$R$68,IF($B$16=17,'Aktuelle fôrslag'!$R$69,IF($B$16=18,'Aktuelle fôrslag'!$R$70,IF($B$16=19,'Aktuelle fôrslag'!$R$71,'Aktuelle fôrslag'!$R$72))))))))))))))))))))/1000)*$A$16</f>
        <v>0</v>
      </c>
      <c r="L16" s="186">
        <f>((IF($B$16=1,'Aktuelle fôrslag'!$Q$53,IF($B$16=2,'Aktuelle fôrslag'!$Q$54,IF($B$16=3,'Aktuelle fôrslag'!$Q$55,IF($B$16=4,'Aktuelle fôrslag'!$Q$56,IF($B$16=5,'Aktuelle fôrslag'!$Q$57,IF($B$16=6,'Aktuelle fôrslag'!$Q$58,IF($B$16=7,'Aktuelle fôrslag'!$Q$59,IF($B$16=8,'Aktuelle fôrslag'!$Q$60,IF($B$16=9,'Aktuelle fôrslag'!$Q$61,IF($B$16=10,'Aktuelle fôrslag'!$Q$62,IF($B$16=11,'Aktuelle fôrslag'!$Q$63,IF($B$16=12,'Aktuelle fôrslag'!$Q$64,IF($B$16=13,'Aktuelle fôrslag'!$Q$65,IF($B$16=14,'Aktuelle fôrslag'!$Q$66,IF($B$16=15,'Aktuelle fôrslag'!$Q$67,IF($B$16=16,'Aktuelle fôrslag'!$Q$68,IF($B$16=17,'Aktuelle fôrslag'!$Q$69,IF($B$16=18,'Aktuelle fôrslag'!$Q$70,IF($B$16=19,'Aktuelle fôrslag'!$Q$71,'Aktuelle fôrslag'!$Q$72))))))))))))))))))))/1000)*$A$16</f>
        <v>0</v>
      </c>
      <c r="M16" s="186">
        <f>((IF($B$16=1,'Aktuelle fôrslag'!$N$53,IF($B$16=2,'Aktuelle fôrslag'!$N$54,IF($B$16=3,'Aktuelle fôrslag'!$N$55,IF($B$16=4,'Aktuelle fôrslag'!$N$56,IF($B$16=5,'Aktuelle fôrslag'!$N$57,IF($B$16=6,'Aktuelle fôrslag'!$N$58,IF($B$16=7,'Aktuelle fôrslag'!$N$59,IF($B$16=8,'Aktuelle fôrslag'!$N$60,IF($B$16=9,'Aktuelle fôrslag'!$N$61,IF($B$16=10,'Aktuelle fôrslag'!$N$62,IF($B$16=11,'Aktuelle fôrslag'!$N$63,IF($B$16=12,'Aktuelle fôrslag'!$N$64,IF($B$16=13,'Aktuelle fôrslag'!$N$65,IF($B$16=14,'Aktuelle fôrslag'!$N$66,IF($B$16=15,'Aktuelle fôrslag'!$N$67,IF($B$16=16,'Aktuelle fôrslag'!$N$68,IF($B$16=17,'Aktuelle fôrslag'!$N$69,IF($B$16=18,'Aktuelle fôrslag'!$N$70,IF($B$16=19,'Aktuelle fôrslag'!$N$71,'Aktuelle fôrslag'!$N$72))))))))))))))))))))/1000)*$A$16</f>
        <v>0</v>
      </c>
      <c r="N16" s="186">
        <f>((IF($B$16=1,'Aktuelle fôrslag'!$O$53,IF($B$16=2,'Aktuelle fôrslag'!$O$54,IF($B$16=3,'Aktuelle fôrslag'!$O$55,IF($B$16=4,'Aktuelle fôrslag'!$O$56,IF($B$16=5,'Aktuelle fôrslag'!$O$57,IF($B$16=6,'Aktuelle fôrslag'!$O$58,IF($B$16=7,'Aktuelle fôrslag'!$O$59,IF($B$16=8,'Aktuelle fôrslag'!$O$60,IF($B$16=9,'Aktuelle fôrslag'!$O$61,IF($B$16=10,'Aktuelle fôrslag'!$O$62,IF($B$16=11,'Aktuelle fôrslag'!$O$63,IF($B$16=12,'Aktuelle fôrslag'!$O$64,IF($B$16=13,'Aktuelle fôrslag'!$O$65,IF($B$16=14,'Aktuelle fôrslag'!$O$66,IF($B$16=15,'Aktuelle fôrslag'!$O$67,IF($B$16=16,'Aktuelle fôrslag'!$O$68,IF($B$16=17,'Aktuelle fôrslag'!$O$69,IF($B$16=18,'Aktuelle fôrslag'!$O$70,IF($B$16=19,'Aktuelle fôrslag'!$O$71,'Aktuelle fôrslag'!$O$72))))))))))))))))))))/1000)*$A$16</f>
        <v>0</v>
      </c>
      <c r="O16" s="186">
        <f>((IF($B$16=1,'Aktuelle fôrslag'!$P$53,IF($B$16=2,'Aktuelle fôrslag'!$P$54,IF($B$16=3,'Aktuelle fôrslag'!$P$55,IF($B$16=4,'Aktuelle fôrslag'!$P$56,IF($B$16=5,'Aktuelle fôrslag'!$P$57,IF($B$16=6,'Aktuelle fôrslag'!$P$58,IF($B$16=7,'Aktuelle fôrslag'!$P$59,IF($B$16=8,'Aktuelle fôrslag'!$P$60,IF($B$16=9,'Aktuelle fôrslag'!$P$61,IF($B$16=10,'Aktuelle fôrslag'!$P$62,IF($B$16=11,'Aktuelle fôrslag'!$P$63,IF($B$16=12,'Aktuelle fôrslag'!$P$64,IF($B$16=13,'Aktuelle fôrslag'!$P$65,IF($B$16=14,'Aktuelle fôrslag'!$P$66,IF($B$16=15,'Aktuelle fôrslag'!$P$67,IF($B$16=16,'Aktuelle fôrslag'!$P$68,IF($B$16=17,'Aktuelle fôrslag'!$P$69,IF($B$16=18,'Aktuelle fôrslag'!$P$70,IF($B$16=19,'Aktuelle fôrslag'!$P$71,'Aktuelle fôrslag'!$P$72))))))))))))))))))))/1000)*$A$16</f>
        <v>0</v>
      </c>
      <c r="P16" s="186">
        <f>((IF($B$16=1,'Aktuelle fôrslag'!$S$53,IF($B$16=2,'Aktuelle fôrslag'!$S$54,IF($B$16=3,'Aktuelle fôrslag'!$S$55,IF($B$16=4,'Aktuelle fôrslag'!$S$56,IF($B$16=5,'Aktuelle fôrslag'!$S$57,IF($B$16=6,'Aktuelle fôrslag'!$S$58,IF($B$16=7,'Aktuelle fôrslag'!$S$59,IF($B$16=8,'Aktuelle fôrslag'!$S$60,IF($B$16=9,'Aktuelle fôrslag'!$S$61,IF($B$16=10,'Aktuelle fôrslag'!$S$62,IF($B$16=11,'Aktuelle fôrslag'!$S$63,IF($B$16=12,'Aktuelle fôrslag'!$S$64,IF($B$16=13,'Aktuelle fôrslag'!$S$65,IF($B$16=14,'Aktuelle fôrslag'!$S$66,IF($B$16=15,'Aktuelle fôrslag'!$S$67,IF($B$16=16,'Aktuelle fôrslag'!$S$68,IF($B$16=17,'Aktuelle fôrslag'!$S$69,IF($B$16=18,'Aktuelle fôrslag'!$S$70,IF($B$16=19,'Aktuelle fôrslag'!$S$71,'Aktuelle fôrslag'!$S$72))))))))))))))))))))/1000)*$A$16</f>
        <v>0</v>
      </c>
      <c r="Q16" s="186">
        <f>((IF($B$16=1,'Aktuelle fôrslag'!$M$53,IF($B$16=2,'Aktuelle fôrslag'!$M$54,IF($B$16=3,'Aktuelle fôrslag'!$M$55,IF($B$16=4,'Aktuelle fôrslag'!$M$56,IF($B$16=5,'Aktuelle fôrslag'!$M$57,IF($B$16=6,'Aktuelle fôrslag'!$M$58,IF($B$16=7,'Aktuelle fôrslag'!$M$59,IF($B$16=8,'Aktuelle fôrslag'!$M$60,IF($B$16=9,'Aktuelle fôrslag'!$M$61,IF($B$16=10,'Aktuelle fôrslag'!$M$62,IF($B$16=11,'Aktuelle fôrslag'!$M$63,IF($B$16=12,'Aktuelle fôrslag'!$M$64,IF($B$16=13,'Aktuelle fôrslag'!$M$65,IF($B$16=14,'Aktuelle fôrslag'!$M$66,IF($B$16=15,'Aktuelle fôrslag'!$M$67,IF($B$16=16,'Aktuelle fôrslag'!$M$68,IF($B$16=17,'Aktuelle fôrslag'!$M$69,IF($B$16=18,'Aktuelle fôrslag'!$M$70,IF($B$16=19,'Aktuelle fôrslag'!$M$71,'Aktuelle fôrslag'!$M$72))))))))))))))))))))/1000)*$A$16</f>
        <v>0</v>
      </c>
      <c r="T16" t="s">
        <v>282</v>
      </c>
    </row>
    <row r="17" spans="1:17" ht="15.75" x14ac:dyDescent="0.25">
      <c r="C17" s="385" t="s">
        <v>283</v>
      </c>
      <c r="D17" s="386" t="e">
        <f>(D14+D15+D16)/U7</f>
        <v>#DIV/0!</v>
      </c>
      <c r="E17" s="386" t="e">
        <f>(E14+E15+E16)/V7</f>
        <v>#DIV/0!</v>
      </c>
      <c r="F17" s="386" t="e">
        <f>(F14+F15+F16)/W7</f>
        <v>#DIV/0!</v>
      </c>
      <c r="G17" s="386" t="e">
        <f>(G14+G15+G16)/X7</f>
        <v>#DIV/0!</v>
      </c>
      <c r="H17" s="386" t="e">
        <f t="shared" ref="H17:Q17" si="0">(H14+H15+H16)/Y7</f>
        <v>#DIV/0!</v>
      </c>
      <c r="I17" s="386" t="e">
        <f>(I14+I15+I16)/Z7</f>
        <v>#DIV/0!</v>
      </c>
      <c r="J17" s="386" t="e">
        <f t="shared" si="0"/>
        <v>#DIV/0!</v>
      </c>
      <c r="K17" s="386" t="e">
        <f t="shared" si="0"/>
        <v>#DIV/0!</v>
      </c>
      <c r="L17" s="386" t="e">
        <f t="shared" si="0"/>
        <v>#DIV/0!</v>
      </c>
      <c r="M17" s="386" t="e">
        <f t="shared" si="0"/>
        <v>#DIV/0!</v>
      </c>
      <c r="N17" s="386" t="e">
        <f t="shared" si="0"/>
        <v>#DIV/0!</v>
      </c>
      <c r="O17" s="386" t="e">
        <f t="shared" si="0"/>
        <v>#DIV/0!</v>
      </c>
      <c r="P17" s="386" t="e">
        <f>(P14+P15+P16)/AG7</f>
        <v>#DIV/0!</v>
      </c>
      <c r="Q17" s="386" t="e">
        <f t="shared" si="0"/>
        <v>#DIV/0!</v>
      </c>
    </row>
    <row r="18" spans="1:17" ht="15.75" x14ac:dyDescent="0.25">
      <c r="C18" s="392" t="str">
        <f>Planlegging!C22</f>
        <v>Søye lavdrektig godt hold</v>
      </c>
      <c r="D18" s="393" t="e">
        <f>(D5*Planlegging!$D$23)+(D6*Planlegging!$D$24)+(Mineraldekning!D10*Planlegging!$F$29)</f>
        <v>#DIV/0!</v>
      </c>
      <c r="E18" s="393" t="e">
        <f>(E5*Planlegging!$D$23)+(E6*Planlegging!$D$24)+(Mineraldekning!H10*Planlegging!$F$29)</f>
        <v>#DIV/0!</v>
      </c>
      <c r="F18" s="393" t="e">
        <f>(F5*Planlegging!$D$23)+(F6*Planlegging!$D$24)+(Mineraldekning!F10*Planlegging!$K$29)</f>
        <v>#DIV/0!</v>
      </c>
      <c r="G18" s="393" t="e">
        <f>(G5*Planlegging!$D$23)+(G6*Planlegging!$D$24)+(Mineraldekning!F10*Planlegging!$F$29)</f>
        <v>#DIV/0!</v>
      </c>
      <c r="H18" s="393" t="e">
        <f>(H5*Planlegging!$D$23)+(H6*Planlegging!$D$24)+(Mineraldekning!G10*Planlegging!$F$29)</f>
        <v>#DIV/0!</v>
      </c>
      <c r="I18" s="393" t="e">
        <f>(I5*Planlegging!$D$23)+(I6*Planlegging!$D$24)+(Mineraldekning!I10*Planlegging!$F$29)</f>
        <v>#DIV/0!</v>
      </c>
      <c r="J18" s="393" t="e">
        <f>(J5*Planlegging!$D$23)+(J6*Planlegging!$D$24)+(Mineraldekning!Q10*Planlegging!$F$29)</f>
        <v>#DIV/0!</v>
      </c>
      <c r="K18" s="393" t="e">
        <f>(K5*Planlegging!$D$23)+(K6*Planlegging!$D$24)+(Mineraldekning!O10*Planlegging!$F$29)</f>
        <v>#DIV/0!</v>
      </c>
      <c r="L18" s="393" t="e">
        <f>(L5*Planlegging!$D$23)+(L6*Planlegging!$D$24)+(Mineraldekning!N10*Planlegging!$F$29)</f>
        <v>#DIV/0!</v>
      </c>
      <c r="M18" s="393" t="e">
        <f>(M5*Planlegging!$D$23)+(M6*Planlegging!$D$24)+(Mineraldekning!K10*Planlegging!$F$29)</f>
        <v>#DIV/0!</v>
      </c>
      <c r="N18" s="393" t="e">
        <f>(N5*Planlegging!$D$23)+(N6*Planlegging!$D$24)+(Mineraldekning!L10*Planlegging!$F$29)</f>
        <v>#DIV/0!</v>
      </c>
      <c r="O18" s="393" t="e">
        <f>(O5*Planlegging!$D$23)+(O6*Planlegging!$D$24)+(Mineraldekning!M10*Planlegging!$F$29)</f>
        <v>#DIV/0!</v>
      </c>
      <c r="P18" s="393" t="e">
        <f>(P5*Planlegging!$D$23)+(P6*Planlegging!$D$24)+(Mineraldekning!P10*Planlegging!$F$29)</f>
        <v>#DIV/0!</v>
      </c>
      <c r="Q18" s="393" t="e">
        <f>(Q5*Planlegging!$D$23)+(Q6*Planlegging!$D$24)+(Mineraldekning!R10*Planlegging!$F$29)</f>
        <v>#DIV/0!</v>
      </c>
    </row>
    <row r="19" spans="1:17" ht="15.75" x14ac:dyDescent="0.25">
      <c r="C19" s="383" t="str">
        <f>IF($B$15=1,'Aktuelle fôrslag'!$B$53,IF($B$15=2,'Aktuelle fôrslag'!$B$54,IF($B$15=3,'Aktuelle fôrslag'!$B$55,IF($B$15=4,'Aktuelle fôrslag'!$B$56,IF($B$15=5,'Aktuelle fôrslag'!$B$57,IF($B$15=6,'Aktuelle fôrslag'!$B$58,IF($B$15=7,'Aktuelle fôrslag'!$B$59,IF($B$15=8,'Aktuelle fôrslag'!$B$60,IF($B$15=9,'Aktuelle fôrslag'!$B$61,IF($B$15=10,'Aktuelle fôrslag'!$B$62,IF($B$15=11,'Aktuelle fôrslag'!$B$63,IF($B$15=12,'Aktuelle fôrslag'!$B$64,IF($B$15=13,'Aktuelle fôrslag'!$B$65,IF($B$15=14,'Aktuelle fôrslag'!$B$66,IF($B$15=15,'Aktuelle fôrslag'!$B$67,IF($B$15=16,'Aktuelle fôrslag'!$B$68,IF($B$15=17,'Aktuelle fôrslag'!$B$69,IF($B$15=18,'Aktuelle fôrslag'!$B$70,IF($B$15=19,'Aktuelle fôrslag'!$B$71,'Aktuelle fôrslag'!$B$72)))))))))))))))))))</f>
        <v>Pluss Sau, pellets</v>
      </c>
      <c r="D19" s="186">
        <f>((IF($B$15=1,'Aktuelle fôrslag'!$C$53,IF($B$15=2,'Aktuelle fôrslag'!$C$54,IF($B$15=3,'Aktuelle fôrslag'!$C$55,IF($B$15=4,'Aktuelle fôrslag'!$C$56,IF($B$15=5,'Aktuelle fôrslag'!$C$57,IF($B$15=6,'Aktuelle fôrslag'!$C$58,IF($B$15=7,'Aktuelle fôrslag'!$C$59,IF($B$15=8,'Aktuelle fôrslag'!$C$60,IF($B$15=9,'Aktuelle fôrslag'!$C$61,IF($B$15=10,'Aktuelle fôrslag'!$C$62,IF($B$15=11,'Aktuelle fôrslag'!$C$63,IF($B$15=12,'Aktuelle fôrslag'!$C$64,IF($B$15=13,'Aktuelle fôrslag'!$C$65,IF($B$15=14,'Aktuelle fôrslag'!$C$66,IF($B$15=15,'Aktuelle fôrslag'!$C$67,IF($B$15=16,'Aktuelle fôrslag'!$C$68,IF($B$15=17,'Aktuelle fôrslag'!$C$69,IF($B$15=18,'Aktuelle fôrslag'!$C$70,IF($B$15=19,'Aktuelle fôrslag'!$C$71,'Aktuelle fôrslag'!$C$72))))))))))))))))))))/1000)*$A$15</f>
        <v>0</v>
      </c>
      <c r="E19" s="186">
        <f>((IF($B$15=1,'Aktuelle fôrslag'!$G$53,IF($B$15=2,'Aktuelle fôrslag'!$G$54,IF($B$15=3,'Aktuelle fôrslag'!$G$55,IF($B$15=4,'Aktuelle fôrslag'!$G$56,IF($B$15=5,'Aktuelle fôrslag'!$G$57,IF($B$15=6,'Aktuelle fôrslag'!$G$58,IF($B$15=7,'Aktuelle fôrslag'!$G$59,IF($B$15=8,'Aktuelle fôrslag'!$G$60,IF($B$15=9,'Aktuelle fôrslag'!$G$61,IF($B$15=10,'Aktuelle fôrslag'!$G$62,IF($B$15=11,'Aktuelle fôrslag'!$G$63,IF($B$15=12,'Aktuelle fôrslag'!$G$64,IF($B$15=13,'Aktuelle fôrslag'!$G$65,IF($B$15=14,'Aktuelle fôrslag'!$G$66,IF($B$15=15,'Aktuelle fôrslag'!$G$67,IF($B$15=16,'Aktuelle fôrslag'!$G$68,IF($B$15=17,'Aktuelle fôrslag'!$G$69,IF($B$15=18,'Aktuelle fôrslag'!$G$70,IF($B$15=19,'Aktuelle fôrslag'!$G$71,'Aktuelle fôrslag'!$G$72))))))))))))))))))))/1000)*$A$15</f>
        <v>0</v>
      </c>
      <c r="F19" s="186">
        <f>((IF($B$15=1,'Aktuelle fôrslag'!$D$53,IF($B$15=2,'Aktuelle fôrslag'!$D$54,IF($B$15=3,'Aktuelle fôrslag'!$D$55,IF($B$15=4,'Aktuelle fôrslag'!$D$56,IF($B$15=5,'Aktuelle fôrslag'!$D$57,IF($B$15=6,'Aktuelle fôrslag'!$D$58,IF($B$15=7,'Aktuelle fôrslag'!$D$59,IF($B$15=8,'Aktuelle fôrslag'!$D$60,IF($B$15=9,'Aktuelle fôrslag'!$D$61,IF($B$15=10,'Aktuelle fôrslag'!$D$62,IF($B$15=11,'Aktuelle fôrslag'!$D$63,IF($B$15=12,'Aktuelle fôrslag'!$D$64,IF($B$15=13,'Aktuelle fôrslag'!$D$65,IF($B$15=14,'Aktuelle fôrslag'!$D$66,IF($B$15=15,'Aktuelle fôrslag'!$D$67,IF($B$15=16,'Aktuelle fôrslag'!$D$68,IF($B$15=17,'Aktuelle fôrslag'!$D$69,IF($B$15=18,'Aktuelle fôrslag'!$D$70,IF($B$15=19,'Aktuelle fôrslag'!$D$71,'Aktuelle fôrslag'!$D$72))))))))))))))))))))/1000)*$A$15</f>
        <v>0</v>
      </c>
      <c r="G19" s="186">
        <f>((IF($B$15=1,'Aktuelle fôrslag'!$E$53,IF($B$15=2,'Aktuelle fôrslag'!$E$54,IF($B$15=3,'Aktuelle fôrslag'!$E$55,IF($B$15=4,'Aktuelle fôrslag'!$E$56,IF($B$15=5,'Aktuelle fôrslag'!$E$57,IF($B$15=6,'Aktuelle fôrslag'!$E$58,IF($B$15=7,'Aktuelle fôrslag'!$E$59,IF($B$15=8,'Aktuelle fôrslag'!$E$60,IF($B$15=9,'Aktuelle fôrslag'!$E$61,IF($B$15=10,'Aktuelle fôrslag'!$E$62,IF($B$15=11,'Aktuelle fôrslag'!$E$63,IF($B$15=12,'Aktuelle fôrslag'!$E$64,IF($B$15=13,'Aktuelle fôrslag'!$E$65,IF($B$15=14,'Aktuelle fôrslag'!$E$66,IF($B$15=15,'Aktuelle fôrslag'!$E$67,IF($B$15=16,'Aktuelle fôrslag'!$E$68,IF($B$15=17,'Aktuelle fôrslag'!$E$69,IF($B$15=18,'Aktuelle fôrslag'!$E$70,IF($B$15=19,'Aktuelle fôrslag'!$E$71,'Aktuelle fôrslag'!$E$72))))))))))))))))))))/1000)*$A$15</f>
        <v>0</v>
      </c>
      <c r="H19" s="186">
        <f>((IF($B$15=1,'Aktuelle fôrslag'!$F$53,IF($B$15=2,'Aktuelle fôrslag'!$F$54,IF($B$15=3,'Aktuelle fôrslag'!$F$55,IF($B$15=4,'Aktuelle fôrslag'!$F$56,IF($B$15=5,'Aktuelle fôrslag'!$F$57,IF($B$15=6,'Aktuelle fôrslag'!$F$58,IF($B$15=7,'Aktuelle fôrslag'!$F$59,IF($B$15=8,'Aktuelle fôrslag'!$F$60,IF($B$15=9,'Aktuelle fôrslag'!$F$61,IF($B$15=10,'Aktuelle fôrslag'!$F$62,IF($B$15=11,'Aktuelle fôrslag'!$F$63,IF($B$15=12,'Aktuelle fôrslag'!$F$64,IF($B$15=13,'Aktuelle fôrslag'!$F$65,IF($B$15=14,'Aktuelle fôrslag'!$F$66,IF($B$15=15,'Aktuelle fôrslag'!$F$67,IF($B$15=16,'Aktuelle fôrslag'!$F$68,IF($B$15=17,'Aktuelle fôrslag'!$F$69,IF($B$15=18,'Aktuelle fôrslag'!$F$70,IF($B$15=19,'Aktuelle fôrslag'!$F$71,'Aktuelle fôrslag'!$F$72))))))))))))))))))))/1000)*$A$15</f>
        <v>0</v>
      </c>
      <c r="I19" s="186">
        <f>((IF($B$15=1,'Aktuelle fôrslag'!$I$53,IF($B$15=2,'Aktuelle fôrslag'!$I$54,IF($B$15=3,'Aktuelle fôrslag'!$I$55,IF($B$15=4,'Aktuelle fôrslag'!$I$56,IF($B$15=5,'Aktuelle fôrslag'!$I$57,IF($B$15=6,'Aktuelle fôrslag'!$I$58,IF($B$15=7,'Aktuelle fôrslag'!$I$59,IF($B$15=8,'Aktuelle fôrslag'!$I$60,IF($B$15=9,'Aktuelle fôrslag'!$I$61,IF($B$15=10,'Aktuelle fôrslag'!$I$62,IF($B$15=11,'Aktuelle fôrslag'!$I$63,IF($B$15=12,'Aktuelle fôrslag'!$I$64,IF($B$15=13,'Aktuelle fôrslag'!$I$65,IF($B$15=14,'Aktuelle fôrslag'!$I$66,IF($B$15=15,'Aktuelle fôrslag'!$I$67,IF($B$15=16,'Aktuelle fôrslag'!$I$68,IF($B$15=17,'Aktuelle fôrslag'!$I$69,IF($B$15=18,'Aktuelle fôrslag'!$I$70,IF($B$15=19,'Aktuelle fôrslag'!$I$71,'Aktuelle fôrslag'!$I$72))))))))))))))))))))/1000)*$A$15</f>
        <v>0</v>
      </c>
      <c r="J19" s="186">
        <f>((IF($B$15=1,'Aktuelle fôrslag'!$T$53,IF($B$15=2,'Aktuelle fôrslag'!$T$54,IF($B$15=3,'Aktuelle fôrslag'!$T$55,IF($B$15=4,'Aktuelle fôrslag'!$T$56,IF($B$15=5,'Aktuelle fôrslag'!$T$57,IF($B$15=6,'Aktuelle fôrslag'!$T$58,IF($B$15=7,'Aktuelle fôrslag'!$T$59,IF($B$15=8,'Aktuelle fôrslag'!$T$60,IF($B$15=9,'Aktuelle fôrslag'!$T$61,IF($B$15=10,'Aktuelle fôrslag'!$T$62,IF($B$15=11,'Aktuelle fôrslag'!$T$63,IF($B$15=12,'Aktuelle fôrslag'!$T$64,IF($B$15=13,'Aktuelle fôrslag'!$T$65,IF($B$15=14,'Aktuelle fôrslag'!$T$66,IF($B$15=15,'Aktuelle fôrslag'!$T$67,IF($B$15=16,'Aktuelle fôrslag'!$T$68,IF($B$15=17,'Aktuelle fôrslag'!$T$69,IF($B$15=18,'Aktuelle fôrslag'!$T$70,IF($B$15=19,'Aktuelle fôrslag'!$T$71,'Aktuelle fôrslag'!$T$72))))))))))))))))))))/1000)*$A$15</f>
        <v>0</v>
      </c>
      <c r="K19" s="186">
        <f>((IF($B$15=1,'Aktuelle fôrslag'!$R$53,IF($B$15=2,'Aktuelle fôrslag'!$R$54,IF($B$15=3,'Aktuelle fôrslag'!$R$55,IF($B$15=4,'Aktuelle fôrslag'!$R$56,IF($B$15=5,'Aktuelle fôrslag'!$R$57,IF($B$15=6,'Aktuelle fôrslag'!$R$58,IF($B$15=7,'Aktuelle fôrslag'!$R$59,IF($B$15=8,'Aktuelle fôrslag'!$R$60,IF($B$15=9,'Aktuelle fôrslag'!$R$61,IF($B$15=10,'Aktuelle fôrslag'!$R$62,IF($B$15=11,'Aktuelle fôrslag'!$R$63,IF($B$15=12,'Aktuelle fôrslag'!$R$64,IF($B$15=13,'Aktuelle fôrslag'!$R$65,IF($B$15=14,'Aktuelle fôrslag'!$R$66,IF($B$15=15,'Aktuelle fôrslag'!$R$67,IF($B$15=16,'Aktuelle fôrslag'!$R$68,IF($B$15=17,'Aktuelle fôrslag'!$R$69,IF($B$15=18,'Aktuelle fôrslag'!$R$70,IF($B$15=19,'Aktuelle fôrslag'!$R$71,'Aktuelle fôrslag'!$R$72))))))))))))))))))))/1000)*$A$15</f>
        <v>0</v>
      </c>
      <c r="L19" s="186">
        <f>((IF($B$15=1,'Aktuelle fôrslag'!$Q$53,IF($B$15=2,'Aktuelle fôrslag'!$Q$54,IF($B$15=3,'Aktuelle fôrslag'!$Q$55,IF($B$15=4,'Aktuelle fôrslag'!$Q$56,IF($B$15=5,'Aktuelle fôrslag'!$Q$57,IF($B$15=6,'Aktuelle fôrslag'!$Q$58,IF($B$15=7,'Aktuelle fôrslag'!$Q$59,IF($B$15=8,'Aktuelle fôrslag'!$Q$60,IF($B$15=9,'Aktuelle fôrslag'!$Q$61,IF($B$15=10,'Aktuelle fôrslag'!$Q$62,IF($B$15=11,'Aktuelle fôrslag'!$Q$63,IF($B$15=12,'Aktuelle fôrslag'!$Q$64,IF($B$15=13,'Aktuelle fôrslag'!$Q$65,IF($B$15=14,'Aktuelle fôrslag'!$Q$66,IF($B$15=15,'Aktuelle fôrslag'!$Q$67,IF($B$15=16,'Aktuelle fôrslag'!$Q$68,IF($B$15=17,'Aktuelle fôrslag'!$Q$69,IF($B$15=18,'Aktuelle fôrslag'!$Q$70,IF($B$15=19,'Aktuelle fôrslag'!$Q$71,'Aktuelle fôrslag'!$Q$72))))))))))))))))))))/1000)*$A$15</f>
        <v>0</v>
      </c>
      <c r="M19" s="186">
        <f>((IF($B$15=1,'Aktuelle fôrslag'!$N$53,IF($B$15=2,'Aktuelle fôrslag'!$N$54,IF($B$15=3,'Aktuelle fôrslag'!$N$55,IF($B$15=4,'Aktuelle fôrslag'!$N$56,IF($B$15=5,'Aktuelle fôrslag'!$N$57,IF($B$15=6,'Aktuelle fôrslag'!$N$58,IF($B$15=7,'Aktuelle fôrslag'!$N$59,IF($B$15=8,'Aktuelle fôrslag'!$N$60,IF($B$15=9,'Aktuelle fôrslag'!$N$61,IF($B$15=10,'Aktuelle fôrslag'!$N$62,IF($B$15=11,'Aktuelle fôrslag'!$N$63,IF($B$15=12,'Aktuelle fôrslag'!$N$64,IF($B$15=13,'Aktuelle fôrslag'!$N$65,IF($B$15=14,'Aktuelle fôrslag'!$N$66,IF($B$15=15,'Aktuelle fôrslag'!$N$67,IF($B$15=16,'Aktuelle fôrslag'!$N$68,IF($B$15=17,'Aktuelle fôrslag'!$N$69,IF($B$15=18,'Aktuelle fôrslag'!$N$70,IF($B$15=19,'Aktuelle fôrslag'!$N$71,'Aktuelle fôrslag'!$N$72))))))))))))))))))))/1000)*$A$15</f>
        <v>0</v>
      </c>
      <c r="N19" s="186">
        <f>((IF($B$15=1,'Aktuelle fôrslag'!$O$53,IF($B$15=2,'Aktuelle fôrslag'!$O$54,IF($B$15=3,'Aktuelle fôrslag'!$O$55,IF($B$15=4,'Aktuelle fôrslag'!$O$56,IF($B$15=5,'Aktuelle fôrslag'!$O$57,IF($B$15=6,'Aktuelle fôrslag'!$O$58,IF($B$15=7,'Aktuelle fôrslag'!$O$59,IF($B$15=8,'Aktuelle fôrslag'!$O$60,IF($B$15=9,'Aktuelle fôrslag'!$O$61,IF($B$15=10,'Aktuelle fôrslag'!$O$62,IF($B$15=11,'Aktuelle fôrslag'!$O$63,IF($B$15=12,'Aktuelle fôrslag'!$O$64,IF($B$15=13,'Aktuelle fôrslag'!$O$65,IF($B$15=14,'Aktuelle fôrslag'!$O$66,IF($B$15=15,'Aktuelle fôrslag'!$O$67,IF($B$15=16,'Aktuelle fôrslag'!$O$68,IF($B$15=17,'Aktuelle fôrslag'!$O$69,IF($B$15=18,'Aktuelle fôrslag'!$O$70,IF($B$15=19,'Aktuelle fôrslag'!$O$71,'Aktuelle fôrslag'!$O$72))))))))))))))))))))/1000)*$A$15</f>
        <v>0</v>
      </c>
      <c r="O19" s="186">
        <f>((IF($B$15=1,'Aktuelle fôrslag'!$P$53,IF($B$15=2,'Aktuelle fôrslag'!$P$54,IF($B$15=3,'Aktuelle fôrslag'!$P$55,IF($B$15=4,'Aktuelle fôrslag'!$P$56,IF($B$15=5,'Aktuelle fôrslag'!$P$57,IF($B$15=6,'Aktuelle fôrslag'!$P$58,IF($B$15=7,'Aktuelle fôrslag'!$P$59,IF($B$15=8,'Aktuelle fôrslag'!$P$60,IF($B$15=9,'Aktuelle fôrslag'!$P$61,IF($B$15=10,'Aktuelle fôrslag'!$P$62,IF($B$15=11,'Aktuelle fôrslag'!$P$63,IF($B$15=12,'Aktuelle fôrslag'!$P$64,IF($B$15=13,'Aktuelle fôrslag'!$P$65,IF($B$15=14,'Aktuelle fôrslag'!$P$66,IF($B$15=15,'Aktuelle fôrslag'!$P$67,IF($B$15=16,'Aktuelle fôrslag'!$P$68,IF($B$15=17,'Aktuelle fôrslag'!$P$69,IF($B$15=18,'Aktuelle fôrslag'!$P$70,IF($B$15=19,'Aktuelle fôrslag'!$P$71,'Aktuelle fôrslag'!$P$72))))))))))))))))))))/1000)*$A$15</f>
        <v>0</v>
      </c>
      <c r="P19" s="186">
        <f>((IF($B$15=1,'Aktuelle fôrslag'!$S$53,IF($B$15=2,'Aktuelle fôrslag'!$S$54,IF($B$15=3,'Aktuelle fôrslag'!$S$55,IF($B$15=4,'Aktuelle fôrslag'!$S$56,IF($B$15=5,'Aktuelle fôrslag'!$S$57,IF($B$15=6,'Aktuelle fôrslag'!$S$58,IF($B$15=7,'Aktuelle fôrslag'!$S$59,IF($B$15=8,'Aktuelle fôrslag'!$S$60,IF($B$15=9,'Aktuelle fôrslag'!$S$61,IF($B$15=10,'Aktuelle fôrslag'!$S$62,IF($B$15=11,'Aktuelle fôrslag'!$S$63,IF($B$15=12,'Aktuelle fôrslag'!$S$64,IF($B$15=13,'Aktuelle fôrslag'!$S$65,IF($B$15=14,'Aktuelle fôrslag'!$S$66,IF($B$15=15,'Aktuelle fôrslag'!$S$67,IF($B$15=16,'Aktuelle fôrslag'!$S$68,IF($B$15=17,'Aktuelle fôrslag'!$S$69,IF($B$15=18,'Aktuelle fôrslag'!$S$70,IF($B$15=19,'Aktuelle fôrslag'!$S$71,'Aktuelle fôrslag'!$S$72))))))))))))))))))))/1000)*$A$15</f>
        <v>0</v>
      </c>
      <c r="Q19" s="186">
        <f>((IF($B$15=1,'Aktuelle fôrslag'!$M$53,IF($B$15=2,'Aktuelle fôrslag'!$M$54,IF($B$15=3,'Aktuelle fôrslag'!$M$55,IF($B$15=4,'Aktuelle fôrslag'!$M$56,IF($B$15=5,'Aktuelle fôrslag'!$M$57,IF($B$15=6,'Aktuelle fôrslag'!$M$58,IF($B$15=7,'Aktuelle fôrslag'!$M$59,IF($B$15=8,'Aktuelle fôrslag'!$M$60,IF($B$15=9,'Aktuelle fôrslag'!$M$61,IF($B$15=10,'Aktuelle fôrslag'!$M$62,IF($B$15=11,'Aktuelle fôrslag'!$M$63,IF($B$15=12,'Aktuelle fôrslag'!$M$64,IF($B$15=13,'Aktuelle fôrslag'!$M$65,IF($B$15=14,'Aktuelle fôrslag'!$M$66,IF($B$15=15,'Aktuelle fôrslag'!$M$67,IF($B$15=16,'Aktuelle fôrslag'!$M$68,IF($B$15=17,'Aktuelle fôrslag'!$M$69,IF($B$15=18,'Aktuelle fôrslag'!$M$70,IF($B$15=19,'Aktuelle fôrslag'!$M$71,'Aktuelle fôrslag'!$M$72))))))))))))))))))))/1000)*$A$15</f>
        <v>0</v>
      </c>
    </row>
    <row r="20" spans="1:17" ht="15.75" x14ac:dyDescent="0.25">
      <c r="C20" s="383" t="str">
        <f>IF($B$16=1,'Aktuelle fôrslag'!$B$53,IF($B$16=2,'Aktuelle fôrslag'!$B$54,IF($B$16=3,'Aktuelle fôrslag'!$B$55,IF($B$16=4,'Aktuelle fôrslag'!$B$56,IF($B$16=5,'Aktuelle fôrslag'!$B$57,IF($B$16=6,'Aktuelle fôrslag'!$B$58,IF($B$16=7,'Aktuelle fôrslag'!$B$59,IF($B$16=8,'Aktuelle fôrslag'!$B$60,IF($B$16=9,'Aktuelle fôrslag'!$B$61,IF($B$16=10,'Aktuelle fôrslag'!$B$62,IF($B$16=11,'Aktuelle fôrslag'!$B$63,IF($B$16=12,'Aktuelle fôrslag'!$B$64,IF($B$16=13,'Aktuelle fôrslag'!$B$65,IF($B$16=14,'Aktuelle fôrslag'!$B$66,IF($B$16=15,'Aktuelle fôrslag'!$B$67,IF($B$16=16,'Aktuelle fôrslag'!$B$68,IF($B$16=17,'Aktuelle fôrslag'!$B$69,IF($B$16=18,'Aktuelle fôrslag'!$B$70,IF($B$16=19,'Aktuelle fôrslag'!$B$71,'Aktuelle fôrslag'!$B$72)))))))))))))))))))</f>
        <v>Pluss Saltslikkestein Hvit</v>
      </c>
      <c r="D20" s="186">
        <f>((IF($B$16=1,'Aktuelle fôrslag'!$C$53,IF($B$16=2,'Aktuelle fôrslag'!$C$54,IF($B$16=3,'Aktuelle fôrslag'!$C$55,IF($B$16=4,'Aktuelle fôrslag'!$C$56,IF($B$16=5,'Aktuelle fôrslag'!$C$57,IF($B$16=6,'Aktuelle fôrslag'!$C$58,IF($B$16=7,'Aktuelle fôrslag'!$C$59,IF($B$16=8,'Aktuelle fôrslag'!$C$60,IF($B$16=9,'Aktuelle fôrslag'!$C$61,IF($B$16=10,'Aktuelle fôrslag'!$C$62,IF($B$16=11,'Aktuelle fôrslag'!$C$63,IF($B$16=12,'Aktuelle fôrslag'!$C$64,IF($B$16=13,'Aktuelle fôrslag'!$C$65,IF($B$16=14,'Aktuelle fôrslag'!$C$66,IF($B$16=15,'Aktuelle fôrslag'!$C$67,IF($B$16=16,'Aktuelle fôrslag'!$C$68,IF($B$16=17,'Aktuelle fôrslag'!$C$69,IF($B$16=18,'Aktuelle fôrslag'!$C$70,IF($B$16=19,'Aktuelle fôrslag'!$C$71,'Aktuelle fôrslag'!$C$72))))))))))))))))))))/1000)*$A$16</f>
        <v>0</v>
      </c>
      <c r="E20" s="186">
        <f>((IF($B$16=1,'Aktuelle fôrslag'!$G$53,IF($B$16=2,'Aktuelle fôrslag'!$G$54,IF($B$16=3,'Aktuelle fôrslag'!$G$55,IF($B$16=4,'Aktuelle fôrslag'!$G$56,IF($B$16=5,'Aktuelle fôrslag'!$G$57,IF($B$16=6,'Aktuelle fôrslag'!$G$58,IF($B$16=7,'Aktuelle fôrslag'!$G$59,IF($B$16=8,'Aktuelle fôrslag'!$G$60,IF($B$16=9,'Aktuelle fôrslag'!$G$61,IF($B$16=10,'Aktuelle fôrslag'!$G$62,IF($B$16=11,'Aktuelle fôrslag'!$G$63,IF($B$16=12,'Aktuelle fôrslag'!$G$64,IF($B$16=13,'Aktuelle fôrslag'!$G$65,IF($B$16=14,'Aktuelle fôrslag'!$G$66,IF($B$16=15,'Aktuelle fôrslag'!$G$67,IF($B$16=16,'Aktuelle fôrslag'!$G$68,IF($B$16=17,'Aktuelle fôrslag'!$G$69,IF($B$16=18,'Aktuelle fôrslag'!$G$70,IF($B$16=19,'Aktuelle fôrslag'!$G$71,'Aktuelle fôrslag'!$G$72))))))))))))))))))))/1000)*$A$16</f>
        <v>0</v>
      </c>
      <c r="F20" s="186">
        <f>((IF($B$16=1,'Aktuelle fôrslag'!$D$53,IF($B$16=2,'Aktuelle fôrslag'!$D$54,IF($B$16=3,'Aktuelle fôrslag'!$D$55,IF($B$16=4,'Aktuelle fôrslag'!$D$56,IF($B$16=5,'Aktuelle fôrslag'!$D$57,IF($B$16=6,'Aktuelle fôrslag'!$D$58,IF($B$16=7,'Aktuelle fôrslag'!$D$59,IF($B$16=8,'Aktuelle fôrslag'!$D$60,IF($B$16=9,'Aktuelle fôrslag'!$D$61,IF($B$16=10,'Aktuelle fôrslag'!$D$62,IF($B$16=11,'Aktuelle fôrslag'!$D$63,IF($B$16=12,'Aktuelle fôrslag'!$D$64,IF($B$16=13,'Aktuelle fôrslag'!$D$65,IF($B$16=14,'Aktuelle fôrslag'!$D$66,IF($B$16=15,'Aktuelle fôrslag'!$D$67,IF($B$16=16,'Aktuelle fôrslag'!$D$68,IF($B$16=17,'Aktuelle fôrslag'!$D$69,IF($B$16=18,'Aktuelle fôrslag'!$D$70,IF($B$16=19,'Aktuelle fôrslag'!$D$71,'Aktuelle fôrslag'!$D$72))))))))))))))))))))/1000)*$A$16</f>
        <v>0</v>
      </c>
      <c r="G20" s="186">
        <f>((IF($B$16=1,'Aktuelle fôrslag'!$E$53,IF($B$16=2,'Aktuelle fôrslag'!$E$54,IF($B$16=3,'Aktuelle fôrslag'!$E$55,IF($B$16=4,'Aktuelle fôrslag'!$E$56,IF($B$16=5,'Aktuelle fôrslag'!$E$57,IF($B$16=6,'Aktuelle fôrslag'!$E$58,IF($B$16=7,'Aktuelle fôrslag'!$E$59,IF($B$16=8,'Aktuelle fôrslag'!$E$60,IF($B$16=9,'Aktuelle fôrslag'!$E$61,IF($B$16=10,'Aktuelle fôrslag'!$E$62,IF($B$16=11,'Aktuelle fôrslag'!$E$63,IF($B$16=12,'Aktuelle fôrslag'!$E$64,IF($B$16=13,'Aktuelle fôrslag'!$E$65,IF($B$16=14,'Aktuelle fôrslag'!$E$66,IF($B$16=15,'Aktuelle fôrslag'!$E$67,IF($B$16=16,'Aktuelle fôrslag'!$E$68,IF($B$16=17,'Aktuelle fôrslag'!$E$69,IF($B$16=18,'Aktuelle fôrslag'!$E$70,IF($B$16=19,'Aktuelle fôrslag'!$E$71,'Aktuelle fôrslag'!$E$72))))))))))))))))))))/1000)*$A$16</f>
        <v>0</v>
      </c>
      <c r="H20" s="186">
        <f>((IF($B$16=1,'Aktuelle fôrslag'!$F$53,IF($B$16=2,'Aktuelle fôrslag'!$F$54,IF($B$16=3,'Aktuelle fôrslag'!$F$55,IF($B$16=4,'Aktuelle fôrslag'!$F$56,IF($B$16=5,'Aktuelle fôrslag'!$F$57,IF($B$16=6,'Aktuelle fôrslag'!$F$58,IF($B$16=7,'Aktuelle fôrslag'!$F$59,IF($B$16=8,'Aktuelle fôrslag'!$F$60,IF($B$16=9,'Aktuelle fôrslag'!$F$61,IF($B$16=10,'Aktuelle fôrslag'!$F$62,IF($B$16=11,'Aktuelle fôrslag'!$F$63,IF($B$16=12,'Aktuelle fôrslag'!$F$64,IF($B$16=13,'Aktuelle fôrslag'!$F$65,IF($B$16=14,'Aktuelle fôrslag'!$F$66,IF($B$16=15,'Aktuelle fôrslag'!$F$67,IF($B$16=16,'Aktuelle fôrslag'!$F$68,IF($B$16=17,'Aktuelle fôrslag'!$F$69,IF($B$16=18,'Aktuelle fôrslag'!$F$70,IF($B$16=19,'Aktuelle fôrslag'!$F$71,'Aktuelle fôrslag'!$F$72))))))))))))))))))))/1000)*$A$16</f>
        <v>0</v>
      </c>
      <c r="I20" s="186">
        <f>((IF($B$16=1,'Aktuelle fôrslag'!$I$53,IF($B$16=2,'Aktuelle fôrslag'!$I$54,IF($B$16=3,'Aktuelle fôrslag'!$I$55,IF($B$16=4,'Aktuelle fôrslag'!$I$56,IF($B$16=5,'Aktuelle fôrslag'!$I$57,IF($B$16=6,'Aktuelle fôrslag'!$I$58,IF($B$16=7,'Aktuelle fôrslag'!$I$59,IF($B$16=8,'Aktuelle fôrslag'!$I$60,IF($B$16=9,'Aktuelle fôrslag'!$I$61,IF($B$16=10,'Aktuelle fôrslag'!$I$62,IF($B$16=11,'Aktuelle fôrslag'!$I$63,IF($B$16=12,'Aktuelle fôrslag'!$I$64,IF($B$16=13,'Aktuelle fôrslag'!$I$65,IF($B$16=14,'Aktuelle fôrslag'!$I$66,IF($B$16=15,'Aktuelle fôrslag'!$I$67,IF($B$16=16,'Aktuelle fôrslag'!$I$68,IF($B$16=17,'Aktuelle fôrslag'!$I$69,IF($B$16=18,'Aktuelle fôrslag'!$I$70,IF($B$16=19,'Aktuelle fôrslag'!$I$71,'Aktuelle fôrslag'!$I$72))))))))))))))))))))/1000)*$A$16</f>
        <v>0</v>
      </c>
      <c r="J20" s="186">
        <f>((IF($B$16=1,'Aktuelle fôrslag'!$T$53,IF($B$16=2,'Aktuelle fôrslag'!$T$54,IF($B$16=3,'Aktuelle fôrslag'!$T$55,IF($B$16=4,'Aktuelle fôrslag'!$T$56,IF($B$16=5,'Aktuelle fôrslag'!$T$57,IF($B$16=6,'Aktuelle fôrslag'!$T$58,IF($B$16=7,'Aktuelle fôrslag'!$T$59,IF($B$16=8,'Aktuelle fôrslag'!$T$60,IF($B$16=9,'Aktuelle fôrslag'!$T$61,IF($B$16=10,'Aktuelle fôrslag'!$T$62,IF($B$16=11,'Aktuelle fôrslag'!$T$63,IF($B$16=12,'Aktuelle fôrslag'!$T$64,IF($B$16=13,'Aktuelle fôrslag'!$T$65,IF($B$16=14,'Aktuelle fôrslag'!$T$66,IF($B$16=15,'Aktuelle fôrslag'!$T$67,IF($B$16=16,'Aktuelle fôrslag'!$T$68,IF($B$16=17,'Aktuelle fôrslag'!$T$69,IF($B$16=18,'Aktuelle fôrslag'!$T$70,IF($B$16=19,'Aktuelle fôrslag'!$T$71,'Aktuelle fôrslag'!$T$72))))))))))))))))))))/1000)*$A$16</f>
        <v>0</v>
      </c>
      <c r="K20" s="186">
        <f>((IF($B$16=1,'Aktuelle fôrslag'!$R$53,IF($B$16=2,'Aktuelle fôrslag'!$R$54,IF($B$16=3,'Aktuelle fôrslag'!$R$55,IF($B$16=4,'Aktuelle fôrslag'!$R$56,IF($B$16=5,'Aktuelle fôrslag'!$R$57,IF($B$16=6,'Aktuelle fôrslag'!$R$58,IF($B$16=7,'Aktuelle fôrslag'!$R$59,IF($B$16=8,'Aktuelle fôrslag'!$R$60,IF($B$16=9,'Aktuelle fôrslag'!$R$61,IF($B$16=10,'Aktuelle fôrslag'!$R$62,IF($B$16=11,'Aktuelle fôrslag'!$R$63,IF($B$16=12,'Aktuelle fôrslag'!$R$64,IF($B$16=13,'Aktuelle fôrslag'!$R$65,IF($B$16=14,'Aktuelle fôrslag'!$R$66,IF($B$16=15,'Aktuelle fôrslag'!$R$67,IF($B$16=16,'Aktuelle fôrslag'!$R$68,IF($B$16=17,'Aktuelle fôrslag'!$R$69,IF($B$16=18,'Aktuelle fôrslag'!$R$70,IF($B$16=19,'Aktuelle fôrslag'!$R$71,'Aktuelle fôrslag'!$R$72))))))))))))))))))))/1000)*$A$16</f>
        <v>0</v>
      </c>
      <c r="L20" s="186">
        <f>((IF($B$16=1,'Aktuelle fôrslag'!$Q$53,IF($B$16=2,'Aktuelle fôrslag'!$Q$54,IF($B$16=3,'Aktuelle fôrslag'!$Q$55,IF($B$16=4,'Aktuelle fôrslag'!$Q$56,IF($B$16=5,'Aktuelle fôrslag'!$Q$57,IF($B$16=6,'Aktuelle fôrslag'!$Q$58,IF($B$16=7,'Aktuelle fôrslag'!$Q$59,IF($B$16=8,'Aktuelle fôrslag'!$Q$60,IF($B$16=9,'Aktuelle fôrslag'!$Q$61,IF($B$16=10,'Aktuelle fôrslag'!$Q$62,IF($B$16=11,'Aktuelle fôrslag'!$Q$63,IF($B$16=12,'Aktuelle fôrslag'!$Q$64,IF($B$16=13,'Aktuelle fôrslag'!$Q$65,IF($B$16=14,'Aktuelle fôrslag'!$Q$66,IF($B$16=15,'Aktuelle fôrslag'!$Q$67,IF($B$16=16,'Aktuelle fôrslag'!$Q$68,IF($B$16=17,'Aktuelle fôrslag'!$Q$69,IF($B$16=18,'Aktuelle fôrslag'!$Q$70,IF($B$16=19,'Aktuelle fôrslag'!$Q$71,'Aktuelle fôrslag'!$Q$72))))))))))))))))))))/1000)*$A$16</f>
        <v>0</v>
      </c>
      <c r="M20" s="186">
        <f>((IF($B$16=1,'Aktuelle fôrslag'!$N$53,IF($B$16=2,'Aktuelle fôrslag'!$N$54,IF($B$16=3,'Aktuelle fôrslag'!$N$55,IF($B$16=4,'Aktuelle fôrslag'!$N$56,IF($B$16=5,'Aktuelle fôrslag'!$N$57,IF($B$16=6,'Aktuelle fôrslag'!$N$58,IF($B$16=7,'Aktuelle fôrslag'!$N$59,IF($B$16=8,'Aktuelle fôrslag'!$N$60,IF($B$16=9,'Aktuelle fôrslag'!$N$61,IF($B$16=10,'Aktuelle fôrslag'!$N$62,IF($B$16=11,'Aktuelle fôrslag'!$N$63,IF($B$16=12,'Aktuelle fôrslag'!$N$64,IF($B$16=13,'Aktuelle fôrslag'!$N$65,IF($B$16=14,'Aktuelle fôrslag'!$N$66,IF($B$16=15,'Aktuelle fôrslag'!$N$67,IF($B$16=16,'Aktuelle fôrslag'!$N$68,IF($B$16=17,'Aktuelle fôrslag'!$N$69,IF($B$16=18,'Aktuelle fôrslag'!$N$70,IF($B$16=19,'Aktuelle fôrslag'!$N$71,'Aktuelle fôrslag'!$N$72))))))))))))))))))))/1000)*$A$16</f>
        <v>0</v>
      </c>
      <c r="N20" s="186">
        <f>((IF($B$16=1,'Aktuelle fôrslag'!$O$53,IF($B$16=2,'Aktuelle fôrslag'!$O$54,IF($B$16=3,'Aktuelle fôrslag'!$O$55,IF($B$16=4,'Aktuelle fôrslag'!$O$56,IF($B$16=5,'Aktuelle fôrslag'!$O$57,IF($B$16=6,'Aktuelle fôrslag'!$O$58,IF($B$16=7,'Aktuelle fôrslag'!$O$59,IF($B$16=8,'Aktuelle fôrslag'!$O$60,IF($B$16=9,'Aktuelle fôrslag'!$O$61,IF($B$16=10,'Aktuelle fôrslag'!$O$62,IF($B$16=11,'Aktuelle fôrslag'!$O$63,IF($B$16=12,'Aktuelle fôrslag'!$O$64,IF($B$16=13,'Aktuelle fôrslag'!$O$65,IF($B$16=14,'Aktuelle fôrslag'!$O$66,IF($B$16=15,'Aktuelle fôrslag'!$O$67,IF($B$16=16,'Aktuelle fôrslag'!$O$68,IF($B$16=17,'Aktuelle fôrslag'!$O$69,IF($B$16=18,'Aktuelle fôrslag'!$O$70,IF($B$16=19,'Aktuelle fôrslag'!$O$71,'Aktuelle fôrslag'!$O$72))))))))))))))))))))/1000)*$A$16</f>
        <v>0</v>
      </c>
      <c r="O20" s="186">
        <f>((IF($B$16=1,'Aktuelle fôrslag'!$P$53,IF($B$16=2,'Aktuelle fôrslag'!$P$54,IF($B$16=3,'Aktuelle fôrslag'!$P$55,IF($B$16=4,'Aktuelle fôrslag'!$P$56,IF($B$16=5,'Aktuelle fôrslag'!$P$57,IF($B$16=6,'Aktuelle fôrslag'!$P$58,IF($B$16=7,'Aktuelle fôrslag'!$P$59,IF($B$16=8,'Aktuelle fôrslag'!$P$60,IF($B$16=9,'Aktuelle fôrslag'!$P$61,IF($B$16=10,'Aktuelle fôrslag'!$P$62,IF($B$16=11,'Aktuelle fôrslag'!$P$63,IF($B$16=12,'Aktuelle fôrslag'!$P$64,IF($B$16=13,'Aktuelle fôrslag'!$P$65,IF($B$16=14,'Aktuelle fôrslag'!$P$66,IF($B$16=15,'Aktuelle fôrslag'!$P$67,IF($B$16=16,'Aktuelle fôrslag'!$P$68,IF($B$16=17,'Aktuelle fôrslag'!$P$69,IF($B$16=18,'Aktuelle fôrslag'!$P$70,IF($B$16=19,'Aktuelle fôrslag'!$P$71,'Aktuelle fôrslag'!$P$72))))))))))))))))))))/1000)*$A$16</f>
        <v>0</v>
      </c>
      <c r="P20" s="186">
        <f>((IF($B$16=1,'Aktuelle fôrslag'!$S$53,IF($B$16=2,'Aktuelle fôrslag'!$S$54,IF($B$16=3,'Aktuelle fôrslag'!$S$55,IF($B$16=4,'Aktuelle fôrslag'!$S$56,IF($B$16=5,'Aktuelle fôrslag'!$S$57,IF($B$16=6,'Aktuelle fôrslag'!$S$58,IF($B$16=7,'Aktuelle fôrslag'!$S$59,IF($B$16=8,'Aktuelle fôrslag'!$S$60,IF($B$16=9,'Aktuelle fôrslag'!$S$61,IF($B$16=10,'Aktuelle fôrslag'!$S$62,IF($B$16=11,'Aktuelle fôrslag'!$S$63,IF($B$16=12,'Aktuelle fôrslag'!$S$64,IF($B$16=13,'Aktuelle fôrslag'!$S$65,IF($B$16=14,'Aktuelle fôrslag'!$S$66,IF($B$16=15,'Aktuelle fôrslag'!$S$67,IF($B$16=16,'Aktuelle fôrslag'!$S$68,IF($B$16=17,'Aktuelle fôrslag'!$S$69,IF($B$16=18,'Aktuelle fôrslag'!$S$70,IF($B$16=19,'Aktuelle fôrslag'!$S$71,'Aktuelle fôrslag'!$S$72))))))))))))))))))))/1000)*$A$16</f>
        <v>0</v>
      </c>
      <c r="Q20" s="186">
        <f>((IF($B$16=1,'Aktuelle fôrslag'!$M$53,IF($B$16=2,'Aktuelle fôrslag'!$M$54,IF($B$16=3,'Aktuelle fôrslag'!$M$55,IF($B$16=4,'Aktuelle fôrslag'!$M$56,IF($B$16=5,'Aktuelle fôrslag'!$M$57,IF($B$16=6,'Aktuelle fôrslag'!$M$58,IF($B$16=7,'Aktuelle fôrslag'!$M$59,IF($B$16=8,'Aktuelle fôrslag'!$M$60,IF($B$16=9,'Aktuelle fôrslag'!$M$61,IF($B$16=10,'Aktuelle fôrslag'!$M$62,IF($B$16=11,'Aktuelle fôrslag'!$M$63,IF($B$16=12,'Aktuelle fôrslag'!$M$64,IF($B$16=13,'Aktuelle fôrslag'!$M$65,IF($B$16=14,'Aktuelle fôrslag'!$M$66,IF($B$16=15,'Aktuelle fôrslag'!$M$67,IF($B$16=16,'Aktuelle fôrslag'!$M$68,IF($B$16=17,'Aktuelle fôrslag'!$M$69,IF($B$16=18,'Aktuelle fôrslag'!$M$70,IF($B$16=19,'Aktuelle fôrslag'!$M$71,'Aktuelle fôrslag'!$M$72))))))))))))))))))))/1000)*$A$16</f>
        <v>0</v>
      </c>
    </row>
    <row r="21" spans="1:17" ht="15.75" x14ac:dyDescent="0.25">
      <c r="C21" s="385" t="s">
        <v>283</v>
      </c>
      <c r="D21" s="386" t="e">
        <f>(D18+D19+D20)/U7</f>
        <v>#DIV/0!</v>
      </c>
      <c r="E21" s="386" t="e">
        <f>(E18+E19+D20)/V7</f>
        <v>#DIV/0!</v>
      </c>
      <c r="F21" s="386" t="e">
        <f t="shared" ref="F21:Q21" si="1">(F18+F19+F20)/W7</f>
        <v>#DIV/0!</v>
      </c>
      <c r="G21" s="386" t="e">
        <f t="shared" si="1"/>
        <v>#DIV/0!</v>
      </c>
      <c r="H21" s="386" t="e">
        <f t="shared" si="1"/>
        <v>#DIV/0!</v>
      </c>
      <c r="I21" s="386" t="e">
        <f t="shared" si="1"/>
        <v>#DIV/0!</v>
      </c>
      <c r="J21" s="386" t="e">
        <f t="shared" si="1"/>
        <v>#DIV/0!</v>
      </c>
      <c r="K21" s="386" t="e">
        <f t="shared" si="1"/>
        <v>#DIV/0!</v>
      </c>
      <c r="L21" s="386" t="e">
        <f t="shared" si="1"/>
        <v>#DIV/0!</v>
      </c>
      <c r="M21" s="386" t="e">
        <f t="shared" si="1"/>
        <v>#DIV/0!</v>
      </c>
      <c r="N21" s="386" t="e">
        <f t="shared" si="1"/>
        <v>#DIV/0!</v>
      </c>
      <c r="O21" s="386" t="e">
        <f t="shared" si="1"/>
        <v>#DIV/0!</v>
      </c>
      <c r="P21" s="386" t="e">
        <f t="shared" si="1"/>
        <v>#DIV/0!</v>
      </c>
      <c r="Q21" s="386" t="e">
        <f t="shared" si="1"/>
        <v>#DIV/0!</v>
      </c>
    </row>
    <row r="22" spans="1:17" ht="15.75" x14ac:dyDescent="0.25">
      <c r="A22" t="s">
        <v>268</v>
      </c>
      <c r="B22" t="s">
        <v>146</v>
      </c>
      <c r="C22" s="392" t="str">
        <f>T8</f>
        <v>Påsettlam lavdrektig</v>
      </c>
      <c r="D22" s="393" t="e">
        <f>(D5*Planlegging!$D$32)+(Mineraldekning!D6*Planlegging!$D$33)+(Mineraldekning!D10*Planlegging!$F$38)</f>
        <v>#DIV/0!</v>
      </c>
      <c r="E22" s="393" t="e">
        <f>(E5*Planlegging!$D$32)+(Mineraldekning!E6*Planlegging!$D$33)+(Mineraldekning!H10*Planlegging!$F$38)</f>
        <v>#DIV/0!</v>
      </c>
      <c r="F22" s="393" t="e">
        <f>(F5*Planlegging!$D$32)+(Mineraldekning!F6*Planlegging!$D$33)+(Mineraldekning!F10*Planlegging!$F$38)</f>
        <v>#DIV/0!</v>
      </c>
      <c r="G22" s="393" t="e">
        <f>(G5*Planlegging!$D$32)+(Mineraldekning!G6*Planlegging!$D$33)+(Mineraldekning!F10*Planlegging!$F$38)</f>
        <v>#DIV/0!</v>
      </c>
      <c r="H22" s="393" t="e">
        <f>(H5*Planlegging!$D$32)+(Mineraldekning!H6*Planlegging!$D$33)+(Mineraldekning!G10*Planlegging!$F$38)</f>
        <v>#DIV/0!</v>
      </c>
      <c r="I22" s="393" t="e">
        <f>(I5*Planlegging!$D$32)+(Mineraldekning!I6*Planlegging!$D$33)+(Mineraldekning!J10*Planlegging!$F$38)</f>
        <v>#DIV/0!</v>
      </c>
      <c r="J22" s="393" t="e">
        <f>(J5*Planlegging!$D$32)+(Mineraldekning!J6*Planlegging!$D$33)+(Mineraldekning!Q10*Planlegging!$F$38)</f>
        <v>#DIV/0!</v>
      </c>
      <c r="K22" s="393" t="e">
        <f>(K5*Planlegging!$D$32)+(Mineraldekning!K6*Planlegging!$D$33)+(Mineraldekning!O10*Planlegging!$F$38)</f>
        <v>#DIV/0!</v>
      </c>
      <c r="L22" s="393" t="e">
        <f>(L5*Planlegging!$D$32)+(Mineraldekning!L6*Planlegging!$D$33)+(Mineraldekning!N10*Planlegging!$F$38)</f>
        <v>#DIV/0!</v>
      </c>
      <c r="M22" s="393" t="e">
        <f>(M5*Planlegging!$D$32)+(Mineraldekning!M6*Planlegging!$D$33)+(Mineraldekning!K10*Planlegging!$F$38)</f>
        <v>#DIV/0!</v>
      </c>
      <c r="N22" s="393" t="e">
        <f>(N5*Planlegging!$D$32)+(Mineraldekning!N6*Planlegging!$D$33)+(Mineraldekning!L10*Planlegging!$F$38)</f>
        <v>#DIV/0!</v>
      </c>
      <c r="O22" s="393" t="e">
        <f>(O5*Planlegging!$D$32)+(Mineraldekning!O6*Planlegging!$D$33)+(Mineraldekning!M10*Planlegging!$F$38)</f>
        <v>#DIV/0!</v>
      </c>
      <c r="P22" s="393" t="e">
        <f>(P5*Planlegging!$D$32)+(Mineraldekning!P6*Planlegging!$D$33)+(Mineraldekning!P10*Planlegging!$F$38)</f>
        <v>#DIV/0!</v>
      </c>
      <c r="Q22" s="393" t="e">
        <f>(Q5*Planlegging!$D$32)+(Mineraldekning!Q6*Planlegging!$D$33)+(Mineraldekning!R10*Planlegging!$F$38)</f>
        <v>#DIV/0!</v>
      </c>
    </row>
    <row r="23" spans="1:17" ht="15.75" x14ac:dyDescent="0.25">
      <c r="A23" s="340">
        <v>0</v>
      </c>
      <c r="B23" s="340">
        <v>1</v>
      </c>
      <c r="C23" s="383" t="str">
        <f>IF($B$23=1,'Aktuelle fôrslag'!$B$53,IF($B$23=2,'Aktuelle fôrslag'!$B$54,IF($B$23=3,'Aktuelle fôrslag'!$B$55,IF($B$23=4,'Aktuelle fôrslag'!$B$56,IF($B$23=5,'Aktuelle fôrslag'!$B$57,IF($B$23=6,'Aktuelle fôrslag'!$B$58,IF($B$23=7,'Aktuelle fôrslag'!$B$59,IF($B$23=8,'Aktuelle fôrslag'!$B$60,IF($B$23=9,'Aktuelle fôrslag'!$B$61,IF($B$23=10,'Aktuelle fôrslag'!$B$62,IF($B$23=11,'Aktuelle fôrslag'!$B$63,IF($B$23=12,'Aktuelle fôrslag'!$B$64,IF($B$23=13,'Aktuelle fôrslag'!$B$65,IF($B$23=14,'Aktuelle fôrslag'!$B$66,IF($B$23=15,'Aktuelle fôrslag'!$B$67,IF($B$23=16,'Aktuelle fôrslag'!$B$68,IF($B$23=17,'Aktuelle fôrslag'!$B$69,IF($B$23=18,'Aktuelle fôrslag'!$B$70,IF($B$23=19,'Aktuelle fôrslag'!$B$71,'Aktuelle fôrslag'!$B$72)))))))))))))))))))</f>
        <v>Pluss Sau, pellets</v>
      </c>
      <c r="D23" s="186">
        <f>((IF($B$23=1,'Aktuelle fôrslag'!$C$53,IF($B$23=2,'Aktuelle fôrslag'!$C$54,IF($B$23=3,'Aktuelle fôrslag'!$C$55,IF($B$23=4,'Aktuelle fôrslag'!$C$56,IF($B$23=5,'Aktuelle fôrslag'!$C$57,IF($B$23=6,'Aktuelle fôrslag'!$C$58,IF($B$23=7,'Aktuelle fôrslag'!$C$59,IF($B$23=8,'Aktuelle fôrslag'!$C$60,IF($B$23=9,'Aktuelle fôrslag'!$C$61,IF($B$23=10,'Aktuelle fôrslag'!$C$62,IF($B$23=11,'Aktuelle fôrslag'!$C$63,IF($B$23=12,'Aktuelle fôrslag'!$C$64,IF($B$23=13,'Aktuelle fôrslag'!$C$65,IF($B$23=14,'Aktuelle fôrslag'!$C$66,IF($B$23=15,'Aktuelle fôrslag'!$C$67,IF($B$23=16,'Aktuelle fôrslag'!$C$68,IF($B$23=17,'Aktuelle fôrslag'!$C$69,IF($B$23=18,'Aktuelle fôrslag'!$C$70,IF($B$23=19,'Aktuelle fôrslag'!$C$71,'Aktuelle fôrslag'!$C$72))))))))))))))))))))/1000)*$A$23</f>
        <v>0</v>
      </c>
      <c r="E23" s="186">
        <f>((IF($B$23=1,'Aktuelle fôrslag'!$G$53,IF($B$23=2,'Aktuelle fôrslag'!$G$54,IF($B$23=3,'Aktuelle fôrslag'!$G$55,IF($B$23=4,'Aktuelle fôrslag'!$G$56,IF($B$23=5,'Aktuelle fôrslag'!$G$57,IF($B$23=6,'Aktuelle fôrslag'!$G$58,IF($B$23=7,'Aktuelle fôrslag'!$G$59,IF($B$23=8,'Aktuelle fôrslag'!$G$60,IF($B$23=9,'Aktuelle fôrslag'!$G$61,IF($B$23=10,'Aktuelle fôrslag'!$G$62,IF($B$23=11,'Aktuelle fôrslag'!$G$63,IF($B$23=12,'Aktuelle fôrslag'!$G$64,IF($B$23=13,'Aktuelle fôrslag'!$G$65,IF($B$23=14,'Aktuelle fôrslag'!$G$66,IF($B$23=15,'Aktuelle fôrslag'!$G$67,IF($B$23=16,'Aktuelle fôrslag'!$G$68,IF($B$23=17,'Aktuelle fôrslag'!$G$69,IF($B$23=18,'Aktuelle fôrslag'!$G$70,IF($B$23=19,'Aktuelle fôrslag'!$G$71,'Aktuelle fôrslag'!$G$72))))))))))))))))))))/1000)*$A$23</f>
        <v>0</v>
      </c>
      <c r="F23" s="186">
        <f>((IF($B$23=1,'Aktuelle fôrslag'!$D$53,IF($B$23=2,'Aktuelle fôrslag'!$D$54,IF($B$23=3,'Aktuelle fôrslag'!$D$55,IF($B$23=4,'Aktuelle fôrslag'!$D$56,IF($B$23=5,'Aktuelle fôrslag'!$D$57,IF($B$23=6,'Aktuelle fôrslag'!$D$58,IF($B$23=7,'Aktuelle fôrslag'!$D$59,IF($B$23=8,'Aktuelle fôrslag'!$D$60,IF($B$23=9,'Aktuelle fôrslag'!$D$61,IF($B$23=10,'Aktuelle fôrslag'!$D$62,IF($B$23=11,'Aktuelle fôrslag'!$D$63,IF($B$23=12,'Aktuelle fôrslag'!$D$64,IF($B$23=13,'Aktuelle fôrslag'!$D$65,IF($B$23=14,'Aktuelle fôrslag'!$D$66,IF($B$23=15,'Aktuelle fôrslag'!$D$67,IF($B$23=16,'Aktuelle fôrslag'!$D$68,IF($B$23=17,'Aktuelle fôrslag'!$D$69,IF($B$23=18,'Aktuelle fôrslag'!$D$70,IF($B$23=19,'Aktuelle fôrslag'!$D$71,'Aktuelle fôrslag'!$D$72))))))))))))))))))))/1000)*$A$23</f>
        <v>0</v>
      </c>
      <c r="G23" s="186">
        <f>((IF($B$23=1,'Aktuelle fôrslag'!$E$53,IF($B$23=2,'Aktuelle fôrslag'!$E$54,IF($B$23=3,'Aktuelle fôrslag'!$E$55,IF($B$23=4,'Aktuelle fôrslag'!$E$56,IF($B$23=5,'Aktuelle fôrslag'!$E$57,IF($B$23=6,'Aktuelle fôrslag'!$E$58,IF($B$23=7,'Aktuelle fôrslag'!$E$59,IF($B$23=8,'Aktuelle fôrslag'!$E$60,IF($B$23=9,'Aktuelle fôrslag'!$E$61,IF($B$23=10,'Aktuelle fôrslag'!$E$62,IF($B$23=11,'Aktuelle fôrslag'!$E$63,IF($B$23=12,'Aktuelle fôrslag'!$E$64,IF($B$23=13,'Aktuelle fôrslag'!$E$65,IF($B$23=14,'Aktuelle fôrslag'!$E$66,IF($B$23=15,'Aktuelle fôrslag'!$E$67,IF($B$23=16,'Aktuelle fôrslag'!$E$68,IF($B$23=17,'Aktuelle fôrslag'!$E$69,IF($B$23=18,'Aktuelle fôrslag'!$E$70,IF($B$23=19,'Aktuelle fôrslag'!$E$71,'Aktuelle fôrslag'!$E$72))))))))))))))))))))/1000)*$A$23</f>
        <v>0</v>
      </c>
      <c r="H23" s="186">
        <f>((IF($B$23=1,'Aktuelle fôrslag'!$F$53,IF($B$23=2,'Aktuelle fôrslag'!$F$54,IF($B$23=3,'Aktuelle fôrslag'!$F$55,IF($B$23=4,'Aktuelle fôrslag'!$F$56,IF($B$23=5,'Aktuelle fôrslag'!$F$57,IF($B$23=6,'Aktuelle fôrslag'!$F$58,IF($B$23=7,'Aktuelle fôrslag'!$F$59,IF($B$23=8,'Aktuelle fôrslag'!$F$60,IF($B$23=9,'Aktuelle fôrslag'!$F$61,IF($B$23=10,'Aktuelle fôrslag'!$F$62,IF($B$23=11,'Aktuelle fôrslag'!$F$63,IF($B$23=12,'Aktuelle fôrslag'!$F$64,IF($B$23=13,'Aktuelle fôrslag'!$F$65,IF($B$23=14,'Aktuelle fôrslag'!$F$66,IF($B$23=15,'Aktuelle fôrslag'!$F$67,IF($B$23=16,'Aktuelle fôrslag'!$F$68,IF($B$23=17,'Aktuelle fôrslag'!$F$69,IF($B$23=18,'Aktuelle fôrslag'!$F$70,IF($B$23=19,'Aktuelle fôrslag'!$F$71,'Aktuelle fôrslag'!$F$72))))))))))))))))))))/1000)*$A$23</f>
        <v>0</v>
      </c>
      <c r="I23" s="186">
        <f>((IF($B$23=1,'Aktuelle fôrslag'!$I$53,IF($B$23=2,'Aktuelle fôrslag'!$I$54,IF($B$23=3,'Aktuelle fôrslag'!$I$55,IF($B$23=4,'Aktuelle fôrslag'!$I$56,IF($B$23=5,'Aktuelle fôrslag'!$I$57,IF($B$23=6,'Aktuelle fôrslag'!$I$58,IF($B$23=7,'Aktuelle fôrslag'!$I$59,IF($B$23=8,'Aktuelle fôrslag'!$I$60,IF($B$23=9,'Aktuelle fôrslag'!$I$61,IF($B$23=10,'Aktuelle fôrslag'!$I$62,IF($B$23=11,'Aktuelle fôrslag'!$I$63,IF($B$23=12,'Aktuelle fôrslag'!$I$64,IF($B$23=13,'Aktuelle fôrslag'!$I$65,IF($B$23=14,'Aktuelle fôrslag'!$I$66,IF($B$23=15,'Aktuelle fôrslag'!$I$67,IF($B$23=16,'Aktuelle fôrslag'!$I$68,IF($B$23=17,'Aktuelle fôrslag'!$I$69,IF($B$23=18,'Aktuelle fôrslag'!$I$70,IF($B$23=19,'Aktuelle fôrslag'!$I$71,'Aktuelle fôrslag'!$I$72))))))))))))))))))))/1000)*$A$23</f>
        <v>0</v>
      </c>
      <c r="J23" s="186">
        <f>((IF($B$23=1,'Aktuelle fôrslag'!$T$53,IF($B$23=2,'Aktuelle fôrslag'!$T$54,IF($B$23=3,'Aktuelle fôrslag'!$T$55,IF($B$23=4,'Aktuelle fôrslag'!$T$56,IF($B$23=5,'Aktuelle fôrslag'!$T$57,IF($B$23=6,'Aktuelle fôrslag'!$T$58,IF($B$23=7,'Aktuelle fôrslag'!$T$59,IF($B$23=8,'Aktuelle fôrslag'!$T$60,IF($B$23=9,'Aktuelle fôrslag'!$T$61,IF($B$23=10,'Aktuelle fôrslag'!$T$62,IF($B$23=11,'Aktuelle fôrslag'!$T$63,IF($B$23=12,'Aktuelle fôrslag'!$T$64,IF($B$23=13,'Aktuelle fôrslag'!$T$65,IF($B$23=14,'Aktuelle fôrslag'!$T$66,IF($B$23=15,'Aktuelle fôrslag'!$T$67,IF($B$23=16,'Aktuelle fôrslag'!$T$68,IF($B$23=17,'Aktuelle fôrslag'!$T$69,IF($B$23=18,'Aktuelle fôrslag'!$T$70,IF($B$23=19,'Aktuelle fôrslag'!$T$71,'Aktuelle fôrslag'!$T$72))))))))))))))))))))/1000)*$A$23</f>
        <v>0</v>
      </c>
      <c r="K23" s="186">
        <f>((IF($B$23=1,'Aktuelle fôrslag'!$R$53,IF($B$23=2,'Aktuelle fôrslag'!$R$54,IF($B$23=3,'Aktuelle fôrslag'!$R$55,IF($B$23=4,'Aktuelle fôrslag'!$R$56,IF($B$23=5,'Aktuelle fôrslag'!$R$57,IF($B$23=6,'Aktuelle fôrslag'!$R$58,IF($B$23=7,'Aktuelle fôrslag'!$R$59,IF($B$23=8,'Aktuelle fôrslag'!$R$60,IF($B$23=9,'Aktuelle fôrslag'!$R$61,IF($B$23=10,'Aktuelle fôrslag'!$R$62,IF($B$23=11,'Aktuelle fôrslag'!$R$63,IF($B$23=12,'Aktuelle fôrslag'!$R$64,IF($B$23=13,'Aktuelle fôrslag'!$R$65,IF($B$23=14,'Aktuelle fôrslag'!$R$66,IF($B$23=15,'Aktuelle fôrslag'!$R$67,IF($B$23=16,'Aktuelle fôrslag'!$R$68,IF($B$23=17,'Aktuelle fôrslag'!$R$69,IF($B$23=18,'Aktuelle fôrslag'!$R$70,IF($B$23=19,'Aktuelle fôrslag'!$R$71,'Aktuelle fôrslag'!$R$72))))))))))))))))))))/1000)*$A$23</f>
        <v>0</v>
      </c>
      <c r="L23" s="186">
        <f>((IF($B$23=1,'Aktuelle fôrslag'!$Q$53,IF($B$23=2,'Aktuelle fôrslag'!$Q$54,IF($B$23=3,'Aktuelle fôrslag'!$Q$55,IF($B$23=4,'Aktuelle fôrslag'!$Q$56,IF($B$23=5,'Aktuelle fôrslag'!$Q$57,IF($B$23=6,'Aktuelle fôrslag'!$Q$58,IF($B$23=7,'Aktuelle fôrslag'!$Q$59,IF($B$23=8,'Aktuelle fôrslag'!$Q$60,IF($B$23=9,'Aktuelle fôrslag'!$Q$61,IF($B$23=10,'Aktuelle fôrslag'!$Q$62,IF($B$23=11,'Aktuelle fôrslag'!$Q$63,IF($B$23=12,'Aktuelle fôrslag'!$Q$64,IF($B$23=13,'Aktuelle fôrslag'!$Q$65,IF($B$23=14,'Aktuelle fôrslag'!$Q$66,IF($B$23=15,'Aktuelle fôrslag'!$Q$67,IF($B$23=16,'Aktuelle fôrslag'!$Q$68,IF($B$23=17,'Aktuelle fôrslag'!$Q$69,IF($B$23=18,'Aktuelle fôrslag'!$Q$70,IF($B$23=19,'Aktuelle fôrslag'!$Q$71,'Aktuelle fôrslag'!$Q$72))))))))))))))))))))/1000)*$A$23</f>
        <v>0</v>
      </c>
      <c r="M23" s="186">
        <f>((IF($B$23=1,'Aktuelle fôrslag'!$N$53,IF($B$23=2,'Aktuelle fôrslag'!$N$54,IF($B$23=3,'Aktuelle fôrslag'!$N$55,IF($B$23=4,'Aktuelle fôrslag'!$N$56,IF($B$23=5,'Aktuelle fôrslag'!$N$57,IF($B$23=6,'Aktuelle fôrslag'!$N$58,IF($B$23=7,'Aktuelle fôrslag'!$N$59,IF($B$23=8,'Aktuelle fôrslag'!$N$60,IF($B$23=9,'Aktuelle fôrslag'!$N$61,IF($B$23=10,'Aktuelle fôrslag'!$N$62,IF($B$23=11,'Aktuelle fôrslag'!$N$63,IF($B$23=12,'Aktuelle fôrslag'!$N$64,IF($B$23=13,'Aktuelle fôrslag'!$N$65,IF($B$23=14,'Aktuelle fôrslag'!$N$66,IF($B$23=15,'Aktuelle fôrslag'!$N$67,IF($B$23=16,'Aktuelle fôrslag'!$N$68,IF($B$23=17,'Aktuelle fôrslag'!$N$69,IF($B$23=18,'Aktuelle fôrslag'!$N$70,IF($B$23=19,'Aktuelle fôrslag'!$N$71,'Aktuelle fôrslag'!$N$72))))))))))))))))))))/1000)*$A$23</f>
        <v>0</v>
      </c>
      <c r="N23" s="186">
        <f>((IF($B$23=1,'Aktuelle fôrslag'!$O$53,IF($B$23=2,'Aktuelle fôrslag'!$O$54,IF($B$23=3,'Aktuelle fôrslag'!$O$55,IF($B$23=4,'Aktuelle fôrslag'!$O$56,IF($B$23=5,'Aktuelle fôrslag'!$O$57,IF($B$23=6,'Aktuelle fôrslag'!$O$58,IF($B$23=7,'Aktuelle fôrslag'!$O$59,IF($B$23=8,'Aktuelle fôrslag'!$O$60,IF($B$23=9,'Aktuelle fôrslag'!$O$61,IF($B$23=10,'Aktuelle fôrslag'!$O$62,IF($B$23=11,'Aktuelle fôrslag'!$O$63,IF($B$23=12,'Aktuelle fôrslag'!$O$64,IF($B$23=13,'Aktuelle fôrslag'!$O$65,IF($B$23=14,'Aktuelle fôrslag'!$O$66,IF($B$23=15,'Aktuelle fôrslag'!$O$67,IF($B$23=16,'Aktuelle fôrslag'!$O$68,IF($B$23=17,'Aktuelle fôrslag'!$O$69,IF($B$23=18,'Aktuelle fôrslag'!$O$70,IF($B$23=19,'Aktuelle fôrslag'!$O$71,'Aktuelle fôrslag'!$O$72))))))))))))))))))))/1000)*$A$23</f>
        <v>0</v>
      </c>
      <c r="O23" s="186">
        <f>((IF($B$23=1,'Aktuelle fôrslag'!$P$53,IF($B$23=2,'Aktuelle fôrslag'!$P$54,IF($B$23=3,'Aktuelle fôrslag'!$P$55,IF($B$23=4,'Aktuelle fôrslag'!$P$56,IF($B$23=5,'Aktuelle fôrslag'!$P$57,IF($B$23=6,'Aktuelle fôrslag'!$P$58,IF($B$23=7,'Aktuelle fôrslag'!$P$59,IF($B$23=8,'Aktuelle fôrslag'!$P$60,IF($B$23=9,'Aktuelle fôrslag'!$P$61,IF($B$23=10,'Aktuelle fôrslag'!$P$62,IF($B$23=11,'Aktuelle fôrslag'!$P$63,IF($B$23=12,'Aktuelle fôrslag'!$P$64,IF($B$23=13,'Aktuelle fôrslag'!$P$65,IF($B$23=14,'Aktuelle fôrslag'!$P$66,IF($B$23=15,'Aktuelle fôrslag'!$P$67,IF($B$23=16,'Aktuelle fôrslag'!$P$68,IF($B$23=17,'Aktuelle fôrslag'!$P$69,IF($B$23=18,'Aktuelle fôrslag'!$P$70,IF($B$23=19,'Aktuelle fôrslag'!$P$71,'Aktuelle fôrslag'!$P$72))))))))))))))))))))/1000)*$A$23</f>
        <v>0</v>
      </c>
      <c r="P23" s="186">
        <f>((IF($B$23=1,'Aktuelle fôrslag'!$S$53,IF($B$23=2,'Aktuelle fôrslag'!$S$54,IF($B$23=3,'Aktuelle fôrslag'!$S$55,IF($B$23=4,'Aktuelle fôrslag'!$S$56,IF($B$23=5,'Aktuelle fôrslag'!$S$57,IF($B$23=6,'Aktuelle fôrslag'!$S$58,IF($B$23=7,'Aktuelle fôrslag'!$S$59,IF($B$23=8,'Aktuelle fôrslag'!$S$60,IF($B$23=9,'Aktuelle fôrslag'!$S$61,IF($B$23=10,'Aktuelle fôrslag'!$S$62,IF($B$23=11,'Aktuelle fôrslag'!$S$63,IF($B$23=12,'Aktuelle fôrslag'!$S$64,IF($B$23=13,'Aktuelle fôrslag'!$S$65,IF($B$23=14,'Aktuelle fôrslag'!$S$66,IF($B$23=15,'Aktuelle fôrslag'!$S$67,IF($B$23=16,'Aktuelle fôrslag'!$S$68,IF($B$23=17,'Aktuelle fôrslag'!$S$69,IF($B$23=18,'Aktuelle fôrslag'!$S$70,IF($B$23=19,'Aktuelle fôrslag'!$S$71,'Aktuelle fôrslag'!$S$72))))))))))))))))))))/1000)*$A$23</f>
        <v>0</v>
      </c>
      <c r="Q23" s="186">
        <f>((IF($B$23=1,'Aktuelle fôrslag'!$M$53,IF($B$23=2,'Aktuelle fôrslag'!$M$54,IF($B$23=3,'Aktuelle fôrslag'!$M$55,IF($B$23=4,'Aktuelle fôrslag'!$M$56,IF($B$23=5,'Aktuelle fôrslag'!$M$57,IF($B$23=6,'Aktuelle fôrslag'!$M$58,IF($B$23=7,'Aktuelle fôrslag'!$M$59,IF($B$23=8,'Aktuelle fôrslag'!$M$60,IF($B$23=9,'Aktuelle fôrslag'!$M$61,IF($B$23=10,'Aktuelle fôrslag'!$M$62,IF($B$23=11,'Aktuelle fôrslag'!$M$63,IF($B$23=12,'Aktuelle fôrslag'!$M$64,IF($B23=13,'Aktuelle fôrslag'!$M$65,IF($B$23=14,'Aktuelle fôrslag'!$M$66,IF($B$23=15,'Aktuelle fôrslag'!$M$67,IF($B$23=16,'Aktuelle fôrslag'!$M$68,IF($B$23=17,'Aktuelle fôrslag'!$M$69,IF($B$23=18,'Aktuelle fôrslag'!$M$70,IF($B$23=19,'Aktuelle fôrslag'!$M$71,'Aktuelle fôrslag'!$M$72))))))))))))))))))))/1000)*$A$23</f>
        <v>0</v>
      </c>
    </row>
    <row r="24" spans="1:17" ht="15.75" x14ac:dyDescent="0.25">
      <c r="A24" s="340">
        <v>0</v>
      </c>
      <c r="B24" s="340">
        <v>9</v>
      </c>
      <c r="C24" s="383" t="str">
        <f>IF($B$24=1,'Aktuelle fôrslag'!$B$53,IF($B$24=2,'Aktuelle fôrslag'!$B$54,IF($B$24=3,'Aktuelle fôrslag'!$B$55,IF($B$24=4,'Aktuelle fôrslag'!$B$56,IF($B$24=5,'Aktuelle fôrslag'!$B$57,IF($B$24=6,'Aktuelle fôrslag'!$B$58,IF($B$24=7,'Aktuelle fôrslag'!$B$59,IF($B$24=8,'Aktuelle fôrslag'!$B$60,IF($B$24=9,'Aktuelle fôrslag'!$B$61,IF($B$24=10,'Aktuelle fôrslag'!$B$62,IF($B$24=11,'Aktuelle fôrslag'!$B$63,IF($B$24=12,'Aktuelle fôrslag'!$B$64,IF($B$24=13,'Aktuelle fôrslag'!$B$65,IF($B$24=14,'Aktuelle fôrslag'!$B$66,IF($B$24=15,'Aktuelle fôrslag'!$B$67,IF($B$24=16,'Aktuelle fôrslag'!$B$68,IF($B$24=17,'Aktuelle fôrslag'!$B$69,IF($B$24=18,'Aktuelle fôrslag'!$B$70,IF($B$24=19,'Aktuelle fôrslag'!$B$71,'Aktuelle fôrslag'!$B$72)))))))))))))))))))</f>
        <v>Pluss Saltslikkestein Hvit</v>
      </c>
      <c r="D24" s="186">
        <f>((IF($B$24=1,'Aktuelle fôrslag'!$C$53,IF($B$24=2,'Aktuelle fôrslag'!$C$54,IF($B$24=3,'Aktuelle fôrslag'!$C$55,IF($B$24=4,'Aktuelle fôrslag'!$C$56,IF($B$24=5,'Aktuelle fôrslag'!$C$57,IF($B$24=6,'Aktuelle fôrslag'!$C$58,IF($B$24=7,'Aktuelle fôrslag'!$C$59,IF($B$24=8,'Aktuelle fôrslag'!$C$60,IF($B$24=9,'Aktuelle fôrslag'!$C$61,IF($B$24=10,'Aktuelle fôrslag'!$C$62,IF($B$24=11,'Aktuelle fôrslag'!$C$63,IF($B$24=12,'Aktuelle fôrslag'!$C$64,IF($B$24=13,'Aktuelle fôrslag'!$C$65,IF($B$24=14,'Aktuelle fôrslag'!$C$66,IF($B$24=15,'Aktuelle fôrslag'!$C$67,IF($B$24=16,'Aktuelle fôrslag'!$C$68,IF($B$24=17,'Aktuelle fôrslag'!$C$69,IF($B$24=18,'Aktuelle fôrslag'!$C$70,IF($B$24=19,'Aktuelle fôrslag'!$C$71,'Aktuelle fôrslag'!$C$72))))))))))))))))))))/1000)*$A$24</f>
        <v>0</v>
      </c>
      <c r="E24" s="186">
        <f>((IF($B$24=1,'Aktuelle fôrslag'!$G$53,IF($B$24=2,'Aktuelle fôrslag'!$G$54,IF($B$24=3,'Aktuelle fôrslag'!$G$55,IF($B$24=4,'Aktuelle fôrslag'!$G$56,IF($B$24=5,'Aktuelle fôrslag'!$G$57,IF($B$24=6,'Aktuelle fôrslag'!$G$58,IF($B$24=7,'Aktuelle fôrslag'!$G$59,IF($B$24=8,'Aktuelle fôrslag'!$G$60,IF($B$24=9,'Aktuelle fôrslag'!$G$61,IF($B$24=10,'Aktuelle fôrslag'!$G$62,IF($B$24=11,'Aktuelle fôrslag'!$G$63,IF($B$24=12,'Aktuelle fôrslag'!$G$64,IF($B$24=13,'Aktuelle fôrslag'!$G$65,IF($B$24=14,'Aktuelle fôrslag'!$G$66,IF($B$24=15,'Aktuelle fôrslag'!$G$67,IF($B$24=16,'Aktuelle fôrslag'!$G$68,IF($B$24=17,'Aktuelle fôrslag'!$G$69,IF($B$24=18,'Aktuelle fôrslag'!$G$70,IF($B$24=19,'Aktuelle fôrslag'!$G$71,'Aktuelle fôrslag'!$G$72))))))))))))))))))))/1000)*$A$24</f>
        <v>0</v>
      </c>
      <c r="F24" s="186">
        <f>((IF($B$24=1,'Aktuelle fôrslag'!$D$53,IF($B$24=2,'Aktuelle fôrslag'!$D$54,IF($B$24=3,'Aktuelle fôrslag'!$D$55,IF($B$24=4,'Aktuelle fôrslag'!$D$56,IF($B$24=5,'Aktuelle fôrslag'!$D$57,IF($B$24=6,'Aktuelle fôrslag'!$D$58,IF($B$24=7,'Aktuelle fôrslag'!$D$59,IF($B$24=8,'Aktuelle fôrslag'!$D$60,IF($B$24=9,'Aktuelle fôrslag'!$D$61,IF($B$24=10,'Aktuelle fôrslag'!$D$62,IF($B$24=11,'Aktuelle fôrslag'!$D$63,IF($B$24=12,'Aktuelle fôrslag'!$D$64,IF($B$24=13,'Aktuelle fôrslag'!$D$65,IF($B$24=14,'Aktuelle fôrslag'!$D$66,IF($B$24=15,'Aktuelle fôrslag'!$D$67,IF($B$24=16,'Aktuelle fôrslag'!$D$68,IF($B$24=17,'Aktuelle fôrslag'!$D$69,IF($B$24=18,'Aktuelle fôrslag'!$D$70,IF($B$24=19,'Aktuelle fôrslag'!$D$71,'Aktuelle fôrslag'!$D$72))))))))))))))))))))/1000)*$A$24</f>
        <v>0</v>
      </c>
      <c r="G24" s="186">
        <f>((IF($B$24=1,'Aktuelle fôrslag'!$E$53,IF($B$24=2,'Aktuelle fôrslag'!$E$54,IF($B$24=3,'Aktuelle fôrslag'!$E$55,IF($B$24=4,'Aktuelle fôrslag'!$E$56,IF($B$24=5,'Aktuelle fôrslag'!$E$57,IF($B$24=6,'Aktuelle fôrslag'!$E$58,IF($B$24=7,'Aktuelle fôrslag'!$E$59,IF($B$24=8,'Aktuelle fôrslag'!$E$60,IF($B$24=9,'Aktuelle fôrslag'!$E$61,IF($B$24=10,'Aktuelle fôrslag'!$E$62,IF($B$24=11,'Aktuelle fôrslag'!$E$63,IF($B$24=12,'Aktuelle fôrslag'!$E$64,IF($B$24=13,'Aktuelle fôrslag'!$E$65,IF($B$24=14,'Aktuelle fôrslag'!$E$66,IF($B$24=15,'Aktuelle fôrslag'!$E$67,IF($B$24=16,'Aktuelle fôrslag'!$E$68,IF($B$24=17,'Aktuelle fôrslag'!$E$69,IF($B$24=18,'Aktuelle fôrslag'!$E$70,IF($B$24=19,'Aktuelle fôrslag'!$E$71,'Aktuelle fôrslag'!$E$72))))))))))))))))))))/1000)*$A$24</f>
        <v>0</v>
      </c>
      <c r="H24" s="186">
        <f>((IF($B$24=1,'Aktuelle fôrslag'!$F$53,IF($B$24=2,'Aktuelle fôrslag'!$F$54,IF($B$24=3,'Aktuelle fôrslag'!$F$55,IF($B$24=4,'Aktuelle fôrslag'!$F$56,IF($B$24=5,'Aktuelle fôrslag'!$F$57,IF($B$24=6,'Aktuelle fôrslag'!$F$58,IF($B$24=7,'Aktuelle fôrslag'!$F$59,IF($B$24=8,'Aktuelle fôrslag'!$F$60,IF($B$24=9,'Aktuelle fôrslag'!$F$61,IF($B$24=10,'Aktuelle fôrslag'!$F$62,IF($B$24=11,'Aktuelle fôrslag'!$F$63,IF($B$24=12,'Aktuelle fôrslag'!$F$64,IF($B$24=13,'Aktuelle fôrslag'!$F$65,IF($B$24=14,'Aktuelle fôrslag'!$F$66,IF($B$24=15,'Aktuelle fôrslag'!$F$67,IF($B$24=16,'Aktuelle fôrslag'!$F$68,IF($B$24=17,'Aktuelle fôrslag'!$F$69,IF($B$24=18,'Aktuelle fôrslag'!$F$70,IF($B$24=19,'Aktuelle fôrslag'!$F$71,'Aktuelle fôrslag'!$F$72))))))))))))))))))))/1000)*$A$24</f>
        <v>0</v>
      </c>
      <c r="I24" s="186">
        <f>((IF($B$24=1,'Aktuelle fôrslag'!$I$53,IF($B$24=2,'Aktuelle fôrslag'!$I$54,IF($B$24=3,'Aktuelle fôrslag'!$I$55,IF($B$24=4,'Aktuelle fôrslag'!$I$56,IF($B$24=5,'Aktuelle fôrslag'!$I$57,IF($B$24=6,'Aktuelle fôrslag'!$I$58,IF($B$24=7,'Aktuelle fôrslag'!$I$59,IF($B$24=8,'Aktuelle fôrslag'!$I$60,IF($B$24=9,'Aktuelle fôrslag'!$I$61,IF($B$24=10,'Aktuelle fôrslag'!$I$62,IF($B$24=11,'Aktuelle fôrslag'!$I$63,IF($B$24=12,'Aktuelle fôrslag'!$I$64,IF($B$24=13,'Aktuelle fôrslag'!$I$65,IF($B$24=14,'Aktuelle fôrslag'!$I$66,IF($B$24=15,'Aktuelle fôrslag'!$I$67,IF($B$24=16,'Aktuelle fôrslag'!$I$68,IF($B$24=17,'Aktuelle fôrslag'!$I$69,IF($B$24=18,'Aktuelle fôrslag'!$I$70,IF($B$24=19,'Aktuelle fôrslag'!$I$71,'Aktuelle fôrslag'!$I$72))))))))))))))))))))/1000)*$A$24</f>
        <v>0</v>
      </c>
      <c r="J24" s="186">
        <f>((IF($B$24=1,'Aktuelle fôrslag'!$T$53,IF($B$24=2,'Aktuelle fôrslag'!$T$54,IF($B$24=3,'Aktuelle fôrslag'!$T$55,IF($B$24=4,'Aktuelle fôrslag'!$T$56,IF($B$24=5,'Aktuelle fôrslag'!$T$57,IF($B$24=6,'Aktuelle fôrslag'!$T$58,IF($B$24=7,'Aktuelle fôrslag'!$T$59,IF($B$24=8,'Aktuelle fôrslag'!$T$60,IF($B$24=9,'Aktuelle fôrslag'!$T$61,IF($B$24=10,'Aktuelle fôrslag'!$T$62,IF($B$24=11,'Aktuelle fôrslag'!$T$63,IF($B$24=12,'Aktuelle fôrslag'!$T$64,IF($B$24=13,'Aktuelle fôrslag'!$T$65,IF($B$24=14,'Aktuelle fôrslag'!$T$66,IF($B$24=15,'Aktuelle fôrslag'!$T$67,IF($B$24=16,'Aktuelle fôrslag'!$T$68,IF($B$24=17,'Aktuelle fôrslag'!$T$69,IF($B$24=18,'Aktuelle fôrslag'!$T$70,IF($B$24=19,'Aktuelle fôrslag'!$T$71,'Aktuelle fôrslag'!$T$72))))))))))))))))))))/1000)*$A$24</f>
        <v>0</v>
      </c>
      <c r="K24" s="186">
        <f>((IF($B$24=1,'Aktuelle fôrslag'!$R$53,IF($B$24=2,'Aktuelle fôrslag'!$R$54,IF($B$24=3,'Aktuelle fôrslag'!$R$55,IF($B$24=4,'Aktuelle fôrslag'!$R$56,IF($B$24=5,'Aktuelle fôrslag'!$R$57,IF($B$24=6,'Aktuelle fôrslag'!$R$58,IF($B$24=7,'Aktuelle fôrslag'!$R$59,IF($B$24=8,'Aktuelle fôrslag'!$R$60,IF($B$24=9,'Aktuelle fôrslag'!$R$61,IF($B$24=10,'Aktuelle fôrslag'!$R$62,IF($B$24=11,'Aktuelle fôrslag'!$R$63,IF($B$24=12,'Aktuelle fôrslag'!$R$64,IF($B$24=13,'Aktuelle fôrslag'!$R$65,IF($B$24=14,'Aktuelle fôrslag'!$R$66,IF($B$24=15,'Aktuelle fôrslag'!$R$67,IF($B$24=16,'Aktuelle fôrslag'!$R$68,IF($B$24=17,'Aktuelle fôrslag'!$R$69,IF($B$24=18,'Aktuelle fôrslag'!$R$70,IF($B$24=19,'Aktuelle fôrslag'!$R$71,'Aktuelle fôrslag'!$R$72))))))))))))))))))))/1000)*$A$24</f>
        <v>0</v>
      </c>
      <c r="L24" s="186">
        <f>((IF($B$24=1,'Aktuelle fôrslag'!$Q$53,IF($B$24=2,'Aktuelle fôrslag'!$Q$54,IF($B$24=3,'Aktuelle fôrslag'!$Q$55,IF($B$24=4,'Aktuelle fôrslag'!$Q$56,IF($B$24=5,'Aktuelle fôrslag'!$Q$57,IF($B$24=6,'Aktuelle fôrslag'!$Q$58,IF($B$24=7,'Aktuelle fôrslag'!$Q$59,IF($B$24=8,'Aktuelle fôrslag'!$Q$60,IF($B$24=9,'Aktuelle fôrslag'!$Q$61,IF($B$24=10,'Aktuelle fôrslag'!$Q$62,IF($B$24=11,'Aktuelle fôrslag'!$Q$63,IF($B$24=12,'Aktuelle fôrslag'!$Q$64,IF($B$24=13,'Aktuelle fôrslag'!$Q$65,IF($B$24=14,'Aktuelle fôrslag'!$Q$66,IF($B$24=15,'Aktuelle fôrslag'!$Q$67,IF($B$24=16,'Aktuelle fôrslag'!$Q$68,IF($B$24,'Aktuelle fôrslag'!$Q$69,IF($B$24=18,'Aktuelle fôrslag'!$Q$70,IF($B$24=19,'Aktuelle fôrslag'!$Q$71,'Aktuelle fôrslag'!$Q$72))))))))))))))))))))/1000)*$A$24</f>
        <v>0</v>
      </c>
      <c r="M24" s="186">
        <f>((IF($B$24=1,'Aktuelle fôrslag'!$N$53,IF($B$24=2,'Aktuelle fôrslag'!$N$54,IF($B$24=3,'Aktuelle fôrslag'!$N$55,IF($B$24=4,'Aktuelle fôrslag'!$N$56,IF($B$24=5,'Aktuelle fôrslag'!$N$57,IF($B$24=6,'Aktuelle fôrslag'!$N$58,IF($B$24=7,'Aktuelle fôrslag'!$N$59,IF($B$24=8,'Aktuelle fôrslag'!$N$60,IF($B$24=9,'Aktuelle fôrslag'!$N$61,IF($B$24=10,'Aktuelle fôrslag'!$N$62,IF($B$24=11,'Aktuelle fôrslag'!$N$63,IF($B$24=12,'Aktuelle fôrslag'!$N$64,IF($B$24=13,'Aktuelle fôrslag'!$N$65,IF($B$24=14,'Aktuelle fôrslag'!$N$66,IF($B$24=15,'Aktuelle fôrslag'!$N$67,IF($B$24=16,'Aktuelle fôrslag'!$N$68,IF($B$24=17,'Aktuelle fôrslag'!$N$69,IF($B$24=18,'Aktuelle fôrslag'!$N$70,IF($B$24=19,'Aktuelle fôrslag'!$N$71,'Aktuelle fôrslag'!$N$72))))))))))))))))))))/1000)*$A$24</f>
        <v>0</v>
      </c>
      <c r="N24" s="186">
        <f>((IF($B$24=1,'Aktuelle fôrslag'!$O$53,IF($B$24=2,'Aktuelle fôrslag'!$O$54,IF($B$24=3,'Aktuelle fôrslag'!$O$55,IF($B$24=4,'Aktuelle fôrslag'!$O$56,IF($B$24=5,'Aktuelle fôrslag'!$O$57,IF($B$24=6,'Aktuelle fôrslag'!$O$58,IF($B$24=7,'Aktuelle fôrslag'!$O$59,IF($B$24=8,'Aktuelle fôrslag'!$O$60,IF($B$24=9,'Aktuelle fôrslag'!$O$61,IF($B$24=10,'Aktuelle fôrslag'!$O$62,IF($B$24=11,'Aktuelle fôrslag'!$O$63,IF($B$24=12,'Aktuelle fôrslag'!$O$64,IF($B$24=13,'Aktuelle fôrslag'!$O$65,IF($B$24=14,'Aktuelle fôrslag'!$O$66,IF($B$24=15,'Aktuelle fôrslag'!$O$67,IF($B$24=16,'Aktuelle fôrslag'!$O$68,IF($B$24=17,'Aktuelle fôrslag'!$O$69,IF($B$24=18,'Aktuelle fôrslag'!$O$70,IF($B$24=19,'Aktuelle fôrslag'!$O$71,'Aktuelle fôrslag'!$O$72))))))))))))))))))))/1000)*$A$24</f>
        <v>0</v>
      </c>
      <c r="O24" s="186">
        <f>((IF($B$24=1,'Aktuelle fôrslag'!$P$53,IF($B$24=2,'Aktuelle fôrslag'!$P$54,IF($B$24=3,'Aktuelle fôrslag'!$P$55,IF($B$24=4,'Aktuelle fôrslag'!$P$56,IF($B$24=5,'Aktuelle fôrslag'!$P$57,IF($B$24=6,'Aktuelle fôrslag'!$P$58,IF($B$24=7,'Aktuelle fôrslag'!$P$59,IF($B$24=8,'Aktuelle fôrslag'!$P$60,IF($B$24=9,'Aktuelle fôrslag'!$P$61,IF($B$24=10,'Aktuelle fôrslag'!$P$62,IF($B$24=11,'Aktuelle fôrslag'!$P$63,IF($B$24=12,'Aktuelle fôrslag'!$P$64,IF($B$24=13,'Aktuelle fôrslag'!$P$65,IF($B$24=14,'Aktuelle fôrslag'!$P$66,IF($B$24=15,'Aktuelle fôrslag'!$P$67,IF($B$24=16,'Aktuelle fôrslag'!$P$68,IF($B$24=17,'Aktuelle fôrslag'!$P$69,IF($B$24=18,'Aktuelle fôrslag'!$P$70,IF($B$24=19,'Aktuelle fôrslag'!$P$71,'Aktuelle fôrslag'!$P$72))))))))))))))))))))/1000)*$A$24</f>
        <v>0</v>
      </c>
      <c r="P24" s="186">
        <f>((IF($B$24=1,'Aktuelle fôrslag'!$S$53,IF($B$24=2,'Aktuelle fôrslag'!$S$54,IF($B$24=3,'Aktuelle fôrslag'!$S$55,IF($B$24=4,'Aktuelle fôrslag'!$S$56,IF($B$24=5,'Aktuelle fôrslag'!$S$57,IF($B$24=6,'Aktuelle fôrslag'!$S$58,IF($B$24=7,'Aktuelle fôrslag'!$S$59,IF($B$24=8,'Aktuelle fôrslag'!$S$60,IF($B$24=9,'Aktuelle fôrslag'!$S$61,IF($B$24=10,'Aktuelle fôrslag'!$S$62,IF($B$24=11,'Aktuelle fôrslag'!$S$63,IF($B$24=12,'Aktuelle fôrslag'!$S$64,IF($B$24=13,'Aktuelle fôrslag'!$S$65,IF($B$24=14,'Aktuelle fôrslag'!$S$66,IF($B$24=15,'Aktuelle fôrslag'!$S$67,IF($B$24=16,'Aktuelle fôrslag'!$S$68,IF($B$24=17,'Aktuelle fôrslag'!$S$69,IF($B$24=18,'Aktuelle fôrslag'!$S$70,IF($B$24=19,'Aktuelle fôrslag'!$S$71,'Aktuelle fôrslag'!$S$72))))))))))))))))))))/1000)*$A$24</f>
        <v>0</v>
      </c>
      <c r="Q24" s="186">
        <f>((IF($B$24=1,'Aktuelle fôrslag'!$M$53,IF($B$24=2,'Aktuelle fôrslag'!$M$54,IF($B$24=3,'Aktuelle fôrslag'!$M$55,IF($B$24=4,'Aktuelle fôrslag'!$M$56,IF($B$24=5,'Aktuelle fôrslag'!$M$57,IF($B$24=6,'Aktuelle fôrslag'!$M$58,IF($B$24=7,'Aktuelle fôrslag'!$M$59,IF($B$24=8,'Aktuelle fôrslag'!$M$60,IF($B$24=9,'Aktuelle fôrslag'!$M$61,IF($B$24=10,'Aktuelle fôrslag'!$M$62,IF($B$24=11,'Aktuelle fôrslag'!$M$63,IF($B$24=12,'Aktuelle fôrslag'!$M$64,IF($B24=13,'Aktuelle fôrslag'!$M$65,IF($B$24=14,'Aktuelle fôrslag'!$M$66,IF($B$24=15,'Aktuelle fôrslag'!$M$67,IF($B$24=16,'Aktuelle fôrslag'!$M$68,IF($B$24=17,'Aktuelle fôrslag'!$M$69,IF($B$24=18,'Aktuelle fôrslag'!$M$70,IF($B$24=19,'Aktuelle fôrslag'!$M$71,'Aktuelle fôrslag'!$M$72))))))))))))))))))))/1000)*$A$24</f>
        <v>0</v>
      </c>
    </row>
    <row r="25" spans="1:17" ht="15.75" x14ac:dyDescent="0.25">
      <c r="C25" s="385" t="s">
        <v>283</v>
      </c>
      <c r="D25" s="386" t="e">
        <f>(D22+D23+D24)/U8</f>
        <v>#DIV/0!</v>
      </c>
      <c r="E25" s="386" t="e">
        <f t="shared" ref="E25:Q25" si="2">(E22+E23+E24)/V8</f>
        <v>#DIV/0!</v>
      </c>
      <c r="F25" s="386" t="e">
        <f t="shared" si="2"/>
        <v>#DIV/0!</v>
      </c>
      <c r="G25" s="386" t="e">
        <f t="shared" si="2"/>
        <v>#DIV/0!</v>
      </c>
      <c r="H25" s="386" t="e">
        <f t="shared" si="2"/>
        <v>#DIV/0!</v>
      </c>
      <c r="I25" s="386" t="e">
        <f t="shared" si="2"/>
        <v>#DIV/0!</v>
      </c>
      <c r="J25" s="386" t="e">
        <f t="shared" si="2"/>
        <v>#DIV/0!</v>
      </c>
      <c r="K25" s="386" t="e">
        <f t="shared" si="2"/>
        <v>#DIV/0!</v>
      </c>
      <c r="L25" s="386" t="e">
        <f t="shared" si="2"/>
        <v>#DIV/0!</v>
      </c>
      <c r="M25" s="386" t="e">
        <f t="shared" si="2"/>
        <v>#DIV/0!</v>
      </c>
      <c r="N25" s="386" t="e">
        <f t="shared" si="2"/>
        <v>#DIV/0!</v>
      </c>
      <c r="O25" s="386" t="e">
        <f t="shared" si="2"/>
        <v>#DIV/0!</v>
      </c>
      <c r="P25" s="386" t="e">
        <f t="shared" si="2"/>
        <v>#DIV/0!</v>
      </c>
      <c r="Q25" s="386" t="e">
        <f t="shared" si="2"/>
        <v>#DIV/0!</v>
      </c>
    </row>
    <row r="26" spans="1:17" x14ac:dyDescent="0.25">
      <c r="D26" s="48"/>
      <c r="E26" s="48"/>
      <c r="F26" s="48"/>
      <c r="G26" s="48"/>
      <c r="H26" s="48"/>
      <c r="I26" s="48"/>
      <c r="J26" s="48"/>
      <c r="K26" s="48"/>
      <c r="L26" s="48"/>
      <c r="M26" s="48"/>
      <c r="N26" s="48"/>
      <c r="O26" s="48"/>
      <c r="P26" s="48"/>
      <c r="Q26" s="48"/>
    </row>
    <row r="27" spans="1:17" ht="21" x14ac:dyDescent="0.35">
      <c r="D27" s="48"/>
      <c r="E27" s="48"/>
      <c r="F27" s="48"/>
      <c r="G27" s="48"/>
      <c r="H27" s="48"/>
      <c r="I27" s="380" t="s">
        <v>284</v>
      </c>
      <c r="J27" s="48"/>
      <c r="K27" s="48"/>
      <c r="L27" s="48"/>
      <c r="M27" s="48"/>
      <c r="N27" s="48"/>
      <c r="O27" s="48"/>
      <c r="P27" s="48"/>
      <c r="Q27" s="48"/>
    </row>
    <row r="28" spans="1:17" ht="15.75" x14ac:dyDescent="0.25">
      <c r="D28" s="394"/>
      <c r="E28" s="395"/>
      <c r="F28" s="395" t="s">
        <v>265</v>
      </c>
      <c r="G28" s="395"/>
      <c r="H28" s="395"/>
      <c r="I28" s="396"/>
      <c r="J28" s="394"/>
      <c r="K28" s="395"/>
      <c r="L28" s="395"/>
      <c r="M28" s="395"/>
      <c r="N28" s="395" t="s">
        <v>266</v>
      </c>
      <c r="O28" s="395"/>
      <c r="P28" s="395"/>
      <c r="Q28" s="396"/>
    </row>
    <row r="29" spans="1:17" ht="21" x14ac:dyDescent="0.35">
      <c r="C29" s="380" t="s">
        <v>267</v>
      </c>
      <c r="D29" s="285" t="s">
        <v>154</v>
      </c>
      <c r="E29" s="285" t="s">
        <v>158</v>
      </c>
      <c r="F29" s="285" t="s">
        <v>155</v>
      </c>
      <c r="G29" s="285" t="s">
        <v>156</v>
      </c>
      <c r="H29" s="285" t="s">
        <v>157</v>
      </c>
      <c r="I29" s="285" t="s">
        <v>160</v>
      </c>
      <c r="J29" s="285" t="s">
        <v>144</v>
      </c>
      <c r="K29" s="285" t="s">
        <v>142</v>
      </c>
      <c r="L29" s="285" t="s">
        <v>141</v>
      </c>
      <c r="M29" s="285" t="s">
        <v>138</v>
      </c>
      <c r="N29" s="285" t="s">
        <v>139</v>
      </c>
      <c r="O29" s="397" t="s">
        <v>140</v>
      </c>
      <c r="P29" s="123" t="s">
        <v>143</v>
      </c>
      <c r="Q29" s="398" t="s">
        <v>183</v>
      </c>
    </row>
    <row r="30" spans="1:17" ht="21" x14ac:dyDescent="0.35">
      <c r="B30" s="381">
        <f>Planlegging!B47</f>
        <v>1</v>
      </c>
      <c r="C30" s="381">
        <f>Planlegging!C47</f>
        <v>0</v>
      </c>
      <c r="D30" s="340">
        <v>4.0999999999999996</v>
      </c>
      <c r="E30" s="340">
        <v>22</v>
      </c>
      <c r="F30" s="340">
        <v>2.8</v>
      </c>
      <c r="G30" s="340">
        <v>1.4</v>
      </c>
      <c r="H30" s="340">
        <v>0.3</v>
      </c>
      <c r="I30" s="340">
        <v>1.8</v>
      </c>
      <c r="J30" s="340">
        <v>220</v>
      </c>
      <c r="K30" s="340">
        <v>70</v>
      </c>
      <c r="L30" s="340">
        <v>57</v>
      </c>
      <c r="M30" s="340">
        <v>5</v>
      </c>
      <c r="N30" s="340">
        <v>0.02</v>
      </c>
      <c r="O30" s="340">
        <v>0.2</v>
      </c>
      <c r="P30" s="340">
        <v>0</v>
      </c>
      <c r="Q30" s="340">
        <v>75</v>
      </c>
    </row>
    <row r="31" spans="1:17" ht="21" x14ac:dyDescent="0.35">
      <c r="B31" s="381">
        <f>Planlegging!B48</f>
        <v>6</v>
      </c>
      <c r="C31" s="381" t="str">
        <f>Planlegging!C48</f>
        <v>Ingen grovfôr nr 2</v>
      </c>
      <c r="D31" s="340"/>
      <c r="E31" s="340"/>
      <c r="F31" s="340"/>
      <c r="G31" s="340"/>
      <c r="H31" s="340"/>
      <c r="I31" s="340"/>
      <c r="J31" s="340"/>
      <c r="K31" s="340"/>
      <c r="L31" s="340"/>
      <c r="M31" s="340"/>
      <c r="N31" s="340"/>
      <c r="O31" s="340"/>
      <c r="P31" s="340"/>
      <c r="Q31" s="340"/>
    </row>
    <row r="33" spans="1:18" ht="15.75" x14ac:dyDescent="0.25">
      <c r="D33" s="499" t="s">
        <v>137</v>
      </c>
      <c r="E33" s="499"/>
      <c r="F33" s="499"/>
      <c r="G33" s="499"/>
      <c r="H33" s="499"/>
      <c r="I33" s="499"/>
      <c r="J33" s="499"/>
      <c r="K33" s="399" t="s">
        <v>138</v>
      </c>
      <c r="L33" s="400" t="s">
        <v>139</v>
      </c>
      <c r="M33" s="400" t="s">
        <v>140</v>
      </c>
      <c r="N33" s="400" t="s">
        <v>141</v>
      </c>
      <c r="O33" s="400" t="s">
        <v>142</v>
      </c>
      <c r="P33" s="400" t="s">
        <v>143</v>
      </c>
      <c r="Q33" s="401" t="s">
        <v>144</v>
      </c>
      <c r="R33" s="401" t="s">
        <v>145</v>
      </c>
    </row>
    <row r="34" spans="1:18" ht="21" x14ac:dyDescent="0.35">
      <c r="C34" s="380" t="s">
        <v>274</v>
      </c>
      <c r="D34" s="402" t="s">
        <v>154</v>
      </c>
      <c r="E34" s="403" t="s">
        <v>155</v>
      </c>
      <c r="F34" s="403" t="s">
        <v>156</v>
      </c>
      <c r="G34" s="403" t="s">
        <v>157</v>
      </c>
      <c r="H34" s="403" t="s">
        <v>158</v>
      </c>
      <c r="I34" s="403" t="s">
        <v>159</v>
      </c>
      <c r="J34" s="404" t="s">
        <v>160</v>
      </c>
      <c r="K34" s="399" t="s">
        <v>161</v>
      </c>
      <c r="L34" s="403" t="s">
        <v>161</v>
      </c>
      <c r="M34" s="403" t="s">
        <v>161</v>
      </c>
      <c r="N34" s="403" t="s">
        <v>161</v>
      </c>
      <c r="O34" s="403" t="s">
        <v>161</v>
      </c>
      <c r="P34" s="403" t="s">
        <v>161</v>
      </c>
      <c r="Q34" s="401" t="s">
        <v>161</v>
      </c>
      <c r="R34" s="401" t="s">
        <v>161</v>
      </c>
    </row>
    <row r="35" spans="1:18" ht="21" x14ac:dyDescent="0.35">
      <c r="B35" s="382">
        <f>Planlegging!B52</f>
        <v>1</v>
      </c>
      <c r="C35" s="382" t="str">
        <f>Planlegging!C52</f>
        <v xml:space="preserve">Formel Sau FK Agri </v>
      </c>
      <c r="D35" s="405">
        <f>IF($B$35=1,'Aktuelle fôrslag'!$N$26,IF($B$35=2,'Aktuelle fôrslag'!$N$27,IF($B$35=3,'Aktuelle fôrslag'!$N$28,IF($B$35=4,'Aktuelle fôrslag'!$N$29,IF($B$35=5,'Aktuelle fôrslag'!$N$30,IF($B$35=6,'Aktuelle fôrslag'!$N$31,IF($B$35=7,'Aktuelle fôrslag'!$N$32,IF($B$35=8,'Aktuelle fôrslag'!$N$33,IF($B$35=9,'Aktuelle fôrslag'!$N$34,IF($B$35=10,'Aktuelle fôrslag'!$N$35,IF($B$35=11,'Aktuelle fôrslag'!$N$36,IF($B$35=12,'Aktuelle fôrslag'!$N$37,IF($B$35=13,'Aktuelle fôrslag'!$N$38,IF($B$35=14,'Aktuelle fôrslag'!$N$39,IF($B$35=15,'Aktuelle fôrslag'!$N$40,IF($B$35=16,'Aktuelle fôrslag'!$N$41,IF($B$35=17,'Aktuelle fôrslag'!$N$42,IF($B$35=18,'Aktuelle fôrslag'!$N$43,IF($B$35=19,'Aktuelle fôrslag'!$N$44,IF($B$35=20,'Aktuelle fôrslag'!$N$45,IF($B$35=21,'Aktuelle fôrslag'!$N$46,IF($B$35=22,'Aktuelle fôrslag'!$N$46,'Aktuelle fôrslag'!$N$48))))))))))))))))))))))</f>
        <v>8.0000000000000002E-3</v>
      </c>
      <c r="E35" s="405">
        <f>IF($B$35=1,'Aktuelle fôrslag'!$O$26,IF($B$35=2,'Aktuelle fôrslag'!$O$27,IF($B$35=3,'Aktuelle fôrslag'!$O$28,IF($B$35=4,'Aktuelle fôrslag'!$O$29,IF($B$35=5,'Aktuelle fôrslag'!$O$30,IF($B$35=6,'Aktuelle fôrslag'!$O$31,IF($B$35=7,'Aktuelle fôrslag'!$O$32,IF($B$35=8,'Aktuelle fôrslag'!$O$33,IF($B$35=9,'Aktuelle fôrslag'!$O$34,IF($B$35=10,'Aktuelle fôrslag'!$O$35,IF($B$35=11,'Aktuelle fôrslag'!$O$36,IF($B$35=12,'Aktuelle fôrslag'!$O$37,IF($B$35=13,'Aktuelle fôrslag'!$O$38,IF($B$35=14,'Aktuelle fôrslag'!$O$39,IF($B$35=15,'Aktuelle fôrslag'!$O$40,IF($B$35=16,'Aktuelle fôrslag'!$O$41,IF($B$35=17,'Aktuelle fôrslag'!$O$42,IF($B$35=18,'Aktuelle fôrslag'!$O$43,IF($B$35=19,'Aktuelle fôrslag'!$O$44,IF($B$35=20,'Aktuelle fôrslag'!$O$45,IF($B$35=21,'Aktuelle fôrslag'!$O$46,IF($B$35=22,'Aktuelle fôrslag'!$O$47,'Aktuelle fôrslag'!$O$48))))))))))))))))))))))</f>
        <v>5.5000000000000005E-3</v>
      </c>
      <c r="F35" s="405">
        <f>IF($B$35=1,'Aktuelle fôrslag'!$P$26,IF($B$35=2,'Aktuelle fôrslag'!$P$27,IF($B$35=3,'Aktuelle fôrslag'!$P$28,IF($B$35=4,'Aktuelle fôrslag'!$P$29,IF($B$35=5,'Aktuelle fôrslag'!$P$30,IF($B$35=6,'Aktuelle fôrslag'!$P$31,IF($B$35=7,'Aktuelle fôrslag'!$P$32,IF($B$35=8,'Aktuelle fôrslag'!$P$33,IF($B$35=9,'Aktuelle fôrslag'!$P$34,IF($B$35=10,'Aktuelle fôrslag'!$P$35,IF($B$35=11,'Aktuelle fôrslag'!$P$36,IF($B$35=12,'Aktuelle fôrslag'!$P$37,IF($B$35=13,'Aktuelle fôrslag'!$Q$38,IF($B$35=14,'Aktuelle fôrslag'!$P$39,IF($B$35=15,'Aktuelle fôrslag'!$P$40,IF($B$35=16,'Aktuelle fôrslag'!$P$41,IF($B$35=17,'Aktuelle fôrslag'!$P$42,IF($B$35=18,'Aktuelle fôrslag'!$P$43,IF($B$35=19,'Aktuelle fôrslag'!$P$44,IF($B$35=20,'Aktuelle fôrslag'!$P$45,IF($B$35=21,'Aktuelle fôrslag'!$P$46,IF($B$35=22,'Aktuelle fôrslag'!$P$47,'Aktuelle fôrslag'!$P$48))))))))))))))))))))))</f>
        <v>3.0000000000000001E-3</v>
      </c>
      <c r="G35" s="405">
        <f>IF($B$35=1,'Aktuelle fôrslag'!$Q$26,IF($B$35=2,'Aktuelle fôrslag'!$Q$27,IF($B$35=3,'Aktuelle fôrslag'!$Q$28,IF($B$35=4,'Aktuelle fôrslag'!$Q$29,IF($B$35=5,'Aktuelle fôrslag'!$Q$30,IF($B$35=6,'Aktuelle fôrslag'!$Q$31,IF($B$35=7,'Aktuelle fôrslag'!$Q$32,IF($B$35=8,'Aktuelle fôrslag'!$Q$33,IF($B$35=9,'Aktuelle fôrslag'!$Q$34,IF($B$35=10,'Aktuelle fôrslag'!$Q$35,IF($B$35=11,'Aktuelle fôrslag'!$Q$36,IF($B$35=12,'Aktuelle fôrslag'!$Q$37,IF($B$35=13,'Aktuelle fôrslag'!$Q$38,IF($B$35=14,'Aktuelle fôrslag'!$Q$39,IF($B$35=15,'Aktuelle fôrslag'!$Q$40,IF($B$35=16,'Aktuelle fôrslag'!$Q$41,IF($B$35=17,'Aktuelle fôrslag'!$Q$42,IF($B$35=18,'Aktuelle fôrslag'!$Q$43,IF($B$35=19,'Aktuelle fôrslag'!$Q$44,IF($B$35=20,'Aktuelle fôrslag'!$Q$45,IF($B$35=21,'Aktuelle fôrslag'!$Q$46,IF($B$35=22,'Aktuelle fôrslag'!$Q$47,'Aktuelle fôrslag'!$Q$48))))))))))))))))))))))</f>
        <v>5.071692E-3</v>
      </c>
      <c r="H35" s="405">
        <f>IF($B$35=1,'Aktuelle fôrslag'!$R$26,IF($B$35=2,'Aktuelle fôrslag'!$R$27,IF($B$35=3,'Aktuelle fôrslag'!$R$28,IF($B$35=4,'Aktuelle fôrslag'!$R$29,IF($B$35=5,'Aktuelle fôrslag'!$R$30,IF($B$35=6,'Aktuelle fôrslag'!$R$31,IF($B$35=7,'Aktuelle fôrslag'!$R$32,IF($B$35=8,'Aktuelle fôrslag'!$R$33,IF($B$35=9,'Aktuelle fôrslag'!$R$34,IF($B$35=10,'Aktuelle fôrslag'!$R$37,IF($B$35=11,'Aktuelle fôrslag'!$R$38,IF($B$35=12,'Aktuelle fôrslag'!$R$39,IF($B$35=13,'Aktuelle fôrslag'!$R$40,IF($B$35=14,'Aktuelle fôrslag'!$R$41,IF($B$35=15,'Aktuelle fôrslag'!$R$42,IF($B$35=16,'Aktuelle fôrslag'!$R$43,IF($B$35=17,'Aktuelle fôrslag'!$R$44,IF($B$35=18,'Aktuelle fôrslag'!$R$45,IF($B$35=19,'Aktuelle fôrslag'!$R$46,'Aktuelle fôrslag'!$R$48)))))))))))))))))))</f>
        <v>8.0471510000000007E-3</v>
      </c>
      <c r="I35" s="405">
        <f>IF($B$35=1,'Aktuelle fôrslag'!$S$26,IF($B$35=2,'Aktuelle fôrslag'!$S$27,IF($B$35=3,'Aktuelle fôrslag'!$S$28,IF($B$35=4,'Aktuelle fôrslag'!$S$29,IF($B$35=5,'Aktuelle fôrslag'!$S$30,IF($B$35=6,'Aktuelle fôrslag'!$S$31,IF($B$35=7,'Aktuelle fôrslag'!$S$32,IF($B$35=8,'Aktuelle fôrslag'!$S$33,IF($B$35=9,'Aktuelle fôrslag'!$S$34,IF($B$35=10,'Aktuelle fôrslag'!$S$35,IF($B$35=11,'Aktuelle fôrslag'!$S$36,IF($B$35=12,'Aktuelle fôrslag'!$S$37,IF($B$35=13,'Aktuelle fôrslag'!$S$38,IF($B$35=14,'Aktuelle fôrslag'!$S$39,IF($B$35=15,'Aktuelle fôrslag'!$S$40,IF($B$35=16,'Aktuelle fôrslag'!$S$41,IF($B$35=17,'Aktuelle fôrslag'!$S$42,IF($B$35=18,'Aktuelle fôrslag'!$S$43,IF($B$35=19,'Aktuelle fôrslag'!$S$44,IF($B$35=20,'Aktuelle fôrslag'!$S$45,IF($B$35=21,'Aktuelle fôrslag'!$S$46,IF($B$35=22,'Aktuelle fôrslag'!$S$47,'Aktuelle fôrslag'!$S$48))))))))))))))))))))))</f>
        <v>3.1737690000000003E-3</v>
      </c>
      <c r="J35" s="405">
        <f>IF($B$35=1,'Aktuelle fôrslag'!$T$26,IF($B$35=2,'Aktuelle fôrslag'!$T$27,IF($B$35=3,'Aktuelle fôrslag'!$T$28,IF($B$35=4,'Aktuelle fôrslag'!$T$29,IF($B$35=5,'Aktuelle fôrslag'!$T$30,IF($B$35=6,'Aktuelle fôrslag'!$T$31,IF($B$35=7,'Aktuelle fôrslag'!$T$32,IF($B$35=8,'Aktuelle fôrslag'!$T$33,IF($B$35=9,'Aktuelle fôrslag'!$T$34,IF($B$35=10,'Aktuelle fôrslag'!$T$35,IF($B$35=11,'Aktuelle fôrslag'!$T$36,IF($B$35=12,'Aktuelle fôrslag'!$T$37,IF($B$35=13,'Aktuelle fôrslag'!$T$38,IF($B$35=14,'Aktuelle fôrslag'!$T$39,IF($B$35=15,'Aktuelle fôrslag'!$T$40,IF($B$35=16,'Aktuelle fôrslag'!$T$41,IF($B$35=17,'Aktuelle fôrslag'!$T$42,IF($B$35=18,'Aktuelle fôrslag'!$T$43,IF($B$35=19,'Aktuelle fôrslag'!$T$44,IF($B$35=20,'Aktuelle fôrslag'!$T$45,IF($B$35=21,'Aktuelle fôrslag'!$T$46,IF($B$35=22,'Aktuelle fôrslag'!$T$47,'Aktuelle fôrslag'!$T$48))))))))))))))))))))))</f>
        <v>3.0000000000000001E-3</v>
      </c>
      <c r="K35" s="406">
        <f>IF($B$35=1,'Aktuelle fôrslag'!$U$26,IF($B$35=2,'Aktuelle fôrslag'!$U$27,IF($B$35=3,'Aktuelle fôrslag'!$U$28,IF($B$35=4,'Aktuelle fôrslag'!$U$29,IF($B$35=5,'Aktuelle fôrslag'!$U$30,IF($B$35=6,'Aktuelle fôrslag'!$U$31,IF($B$35=7,'Aktuelle fôrslag'!$U$32,IF($B$35=8,'Aktuelle fôrslag'!$U$33,IF($B$35=9,'Aktuelle fôrslag'!$U$34,IF($B$35=10,'Aktuelle fôrslag'!$U$35,IF($B$35=11,'Aktuelle fôrslag'!$U$36,IF($B$35=12,'Aktuelle fôrslag'!$U$37,IF($B$35=13,'Aktuelle fôrslag'!$U$38,IF($B$35=14,'Aktuelle fôrslag'!$U$39,IF($B$35=15,'Aktuelle fôrslag'!$U$40,IF($B$35=16,'Aktuelle fôrslag'!$U$41,IF($B$35=17,'Aktuelle fôrslag'!$U$42,IF($B$35=18,'Aktuelle fôrslag'!$U$43,IF($B$35=19,'Aktuelle fôrslag'!$U$44,IF($B$35=20,'Aktuelle fôrslag'!$U$45,IF($B$35=21,'Aktuelle fôrslag'!$U$46,IF($B$35=22,'Aktuelle fôrslag'!$U$47,'Aktuelle fôrslag'!$U$48))))))))))))))))))))))</f>
        <v>9.1415950000000006</v>
      </c>
      <c r="L35" s="406">
        <f>IF($B$35=1,'Aktuelle fôrslag'!$V$26,IF($B$35=2,'Aktuelle fôrslag'!$V$27,IF($B$35=3,'Aktuelle fôrslag'!$V$28,IF($B$35=4,'Aktuelle fôrslag'!$V$29,IF($B$35=5,'Aktuelle fôrslag'!$V$30,IF($B$35=6,'Aktuelle fôrslag'!$V$31,IF($B$35=7,'Aktuelle fôrslag'!$V$32,IF($B$35=8,'Aktuelle fôrslag'!$V$33,IF($B$35=9,'Aktuelle fôrslag'!$V$34,IF($B$35=10,'Aktuelle fôrslag'!$V$35,IF($B$35=11,'Aktuelle fôrslag'!$V$36,IF($B$35=12,'Aktuelle fôrslag'!$V$37,IF($B$35=13,'Aktuelle fôrslag'!$V$38,IF($B$35=14,'Aktuelle fôrslag'!$V$39,IF($B$35=15,'Aktuelle fôrslag'!$V$40,IF($B$35=16,'Aktuelle fôrslag'!$V$41,IF($B$35=17,'Aktuelle fôrslag'!$V$42,IF($B$35=18,'Aktuelle fôrslag'!$V$43,IF($B$35=19,'Aktuelle fôrslag'!$V$44,IF($B$35=20,'Aktuelle fôrslag'!$V$45,IF($B$35=21,'Aktuelle fôrslag'!$V$46,IF($B$35=22,'Aktuelle fôrslag'!$V$47,'Aktuelle fôrslag'!$V$48))))))))))))))))))))))</f>
        <v>0.40000010000000003</v>
      </c>
      <c r="M35" s="406">
        <f>IF($B$35=1,'Aktuelle fôrslag'!$W$26,IF($B$35=2,'Aktuelle fôrslag'!$W$27,IF($B$35=3,'Aktuelle fôrslag'!$W$28,IF($B$35=4,'Aktuelle fôrslag'!$W$29,IF($B$35=5,'Aktuelle fôrslag'!$W$30,IF($B$35=6,'Aktuelle fôrslag'!$W$31,IF($B$35=7,'Aktuelle fôrslag'!$W$32,IF($B$35=8,'Aktuelle fôrslag'!$W$33,IF($B$35=9,'Aktuelle fôrslag'!$W$34,IF($B$35=10,'Aktuelle fôrslag'!$W$35,IF($B$35=11,'Aktuelle fôrslag'!$W$36,IF($B$35=12,'Aktuelle fôrslag'!$W$37,IF($B$35=13,'Aktuelle fôrslag'!$W$38,IF($B$35=14,'Aktuelle fôrslag'!$W$39,IF($B$35=15,'Aktuelle fôrslag'!$W$40,IF($B$35=16,'Aktuelle fôrslag'!$W$41,IF($B$35=17,'Aktuelle fôrslag'!$W$42,IF($B$35=18,'Aktuelle fôrslag'!$W$43,IF($B$35=19,'Aktuelle fôrslag'!$W$44,IF($B$35=20,'Aktuelle fôrslag'!$W$45,IF($B$35=21,'Aktuelle fôrslag'!$W$46,IF($B$35=22,'Aktuelle fôrslag'!$W$47,'Aktuelle fôrslag'!$W$48))))))))))))))))))))))</f>
        <v>0.39</v>
      </c>
      <c r="N35" s="406">
        <f>IF($B$35=1,'Aktuelle fôrslag'!$X$26,IF($B$35=2,'Aktuelle fôrslag'!$X$27,IF($B$35=3,'Aktuelle fôrslag'!$X$28,IF($B$35=4,'Aktuelle fôrslag'!$X$29,IF($B$35=5,'Aktuelle fôrslag'!$X$30,IF($B$35=6,'Aktuelle fôrslag'!$X$31,IF($B$35=7,'Aktuelle fôrslag'!$X$32,IF($B$35=8,'Aktuelle fôrslag'!$X$33,IF($B$35=9,'Aktuelle fôrslag'!$X$34,IF($B$35=10,'Aktuelle fôrslag'!$X$35,IF($B$35=11,'Aktuelle fôrslag'!$X$36,IF($B$35=12,'Aktuelle fôrslag'!$X$37,IF($B$35=13,'Aktuelle fôrslag'!$X$38,IF($B$35=14,'Aktuelle fôrslag'!$X$39,IF($B$35=15,'Aktuelle fôrslag'!$X$40,IF($B$35=16,'Aktuelle fôrslag'!$X$41,IF($B$35=17,'Aktuelle fôrslag'!$X$42,IF($B$35=18,'Aktuelle fôrslag'!$X$43,IF($B$35=19,'Aktuelle fôrslag'!$X$44,IF($B$35=20,'Aktuelle fôrslag'!$X$45,IF($B$35=21,'Aktuelle fôrslag'!$X$46,IF($B$35=22,'Aktuelle fôrslag'!$X$47,'Aktuelle fôrslag'!$X$48))))))))))))))))))))))</f>
        <v>61.51379</v>
      </c>
      <c r="O35" s="406">
        <f>IF($B$35=1,'Aktuelle fôrslag'!$Y$26,IF($B$35=2,'Aktuelle fôrslag'!$Y$27,IF($B$35=3,'Aktuelle fôrslag'!$Y$28,IF($B$35=4,'Aktuelle fôrslag'!$Y$29,IF($B$35=5,'Aktuelle fôrslag'!$Y$30,IF($B$35=6,'Aktuelle fôrslag'!$Y$31,IF($B35=7,'Aktuelle fôrslag'!$Y$32,IF($B$35=8,'Aktuelle fôrslag'!$Y$33,IF($B$35=9,'Aktuelle fôrslag'!$Y$34,IF($B$35=10,'Aktuelle fôrslag'!$Y$35,IF($B$35=11,'Aktuelle fôrslag'!$Y$36,IF($B$35=12,'Aktuelle fôrslag'!$Y$37,IF($B$35=13,'Aktuelle fôrslag'!$Y$38,IF($B$35=14,'Aktuelle fôrslag'!$Y$39,IF($B$35=15,'Aktuelle fôrslag'!$Y$40,IF($B$35=16,'Aktuelle fôrslag'!$Y$41,IF($B$35=17,'Aktuelle fôrslag'!$Y$42,IF($B$35=18,'Aktuelle fôrslag'!$Y$43,IF($B$35=19,'Aktuelle fôrslag'!$Y$44,IF($B$35=20,'Aktuelle fôrslag'!$Y$45,IF($B$35=21,'Aktuelle fôrslag'!$Y$46,IF($B$35=22,'Aktuelle fôrslag'!$Y$47,'Aktuelle fôrslag'!$Y$48))))))))))))))))))))))</f>
        <v>61.51379</v>
      </c>
      <c r="P35" s="406">
        <f>IF($B$35=1,'Aktuelle fôrslag'!$Z$26,IF($B$35=2,'Aktuelle fôrslag'!$Z$27,IF($B$35=3,'Aktuelle fôrslag'!$Z$28,IF($B$35=4,'Aktuelle fôrslag'!$Z$29,IF($B$35=5,'Aktuelle fôrslag'!$Z$30,IF($B$35=6,'Aktuelle fôrslag'!$Z$31,IF($B$35=7,'Aktuelle fôrslag'!$Z$32,IF($B$35=8,'Aktuelle fôrslag'!$Z$33,IF($B$35=9,'Aktuelle fôrslag'!$Z$34,IF($B$35=10,'Aktuelle fôrslag'!$Z$35,IF($B$35=11,'Aktuelle fôrslag'!$Z$36,IF($B$35=12,'Aktuelle fôrslag'!$Z$37,IF($B$35=13,'Aktuelle fôrslag'!$Z$38,IF($B$35=14,'Aktuelle fôrslag'!$Z$39,IF($B$35=15,'Aktuelle fôrslag'!$Z$40,IF($B$35=16,'Aktuelle fôrslag'!$Z$41,IF($B$35=17,'Aktuelle fôrslag'!$Z$42,IF($B$35=18,'Aktuelle fôrslag'!$Z$43,IF($B$35=19,'Aktuelle fôrslag'!$Z$44,IF($B$35=20,'Aktuelle fôrslag'!$Z$45,IF($B$35=21,'Aktuelle fôrslag'!$Z$46,IF($B$35=22,'Aktuelle fôrslag'!$Z$47,'Aktuelle fôrslag'!$Z$48))))))))))))))))))))))</f>
        <v>4.3369660000000003</v>
      </c>
      <c r="Q35" s="406">
        <f>IF($B$35=1,'Aktuelle fôrslag'!$AA$26,IF($B$35=2,'Aktuelle fôrslag'!$AA$27,IF($B$35=3,'Aktuelle fôrslag'!$AA$28,IF($B$35=4,'Aktuelle fôrslag'!$AA$29,IF($B$35=5,'Aktuelle fôrslag'!$AA$30,IF($B$35=6,'Aktuelle fôrslag'!$AA$31,IF($B$35=7,'Aktuelle fôrslag'!$AA$32,IF($B$35=8,'Aktuelle fôrslag'!$AA$33,IF($B$35=9,'Aktuelle fôrslag'!$AA$34,IF($B$35=10,'Aktuelle fôrslag'!$AA$35,IF($B$35=11,'Aktuelle fôrslag'!$AA$36,IF($B$35=12,'Aktuelle fôrslag'!$AA$37,IF($B$35=13,'Aktuelle fôrslag'!$AA$38,IF($B$35=14,'Aktuelle fôrslag'!$AA$39,IF($B$35=15,'Aktuelle fôrslag'!$AA$40,IF($B$35=16,'Aktuelle fôrslag'!$AA$41,IF($B$35=17,'Aktuelle fôrslag'!$AA$42,IF($B$35=18,'Aktuelle fôrslag'!$AA$43,IF($B$35=19,'Aktuelle fôrslag'!$AA$44,IF($B$35=20,'Aktuelle fôrslag'!$AA$45,IF($B$35=21,'Aktuelle fôrslag'!$AA$46,IF($B$35=22,'Aktuelle fôrslag'!$AA$47,'Aktuelle fôrslag'!AA48))))))))))))))))))))))</f>
        <v>81.426770000000005</v>
      </c>
      <c r="R35" s="406">
        <f>IF($B$35=1,'Aktuelle fôrslag'!$AB$26,IF($B$35=2,'Aktuelle fôrslag'!$AB$27,IF($B$35=3,'Aktuelle fôrslag'!$AB$28,IF($B$35=4,'Aktuelle fôrslag'!$AB$29,IF($B$35=5,'Aktuelle fôrslag'!$AB$30,IF($B$35=6,'Aktuelle fôrslag'!$AB$31,IF($B$35=7,'Aktuelle fôrslag'!$AB$32,IF($B$35=8,'Aktuelle fôrslag'!$AB$33,IF($B$35=9,'Aktuelle fôrslag'!$AB$34,IF($B$35=10,'Aktuelle fôrslag'!$AB$35,IF($B$35=11,'Aktuelle fôrslag'!$AB$36,IF($B$35=12,'Aktuelle fôrslag'!$AB$37,IF($B$35=13,'Aktuelle fôrslag'!$AB$38,IF($B$35=14,'Aktuelle fôrslag'!$AB$39,IF($B$35=15,'Aktuelle fôrslag'!$AB$40,IF($B$35=16,'Aktuelle fôrslag'!$AB$41,IF($B$35=17,'Aktuelle fôrslag'!$AB$42,IF($B$35=18,'Aktuelle fôrslag'!$AB$43,IF($B$35=19,'Aktuelle fôrslag'!$AB$44,IF($B$35=20,'Aktuelle fôrslag'!$AB$45,IF($B$35=21,'Aktuelle fôrslag'!$AB$46,IF($B$35=22,'Aktuelle fôrslag'!$AB$47,'Aktuelle fôrslag'!$AB$48))))))))))))))))))))))</f>
        <v>200</v>
      </c>
    </row>
    <row r="36" spans="1:18" x14ac:dyDescent="0.25">
      <c r="D36" s="358"/>
      <c r="E36" s="358"/>
      <c r="F36" s="358"/>
      <c r="G36" s="358"/>
      <c r="H36" s="358"/>
      <c r="I36" s="359"/>
      <c r="J36" s="358"/>
      <c r="K36" s="360"/>
      <c r="L36" s="360"/>
      <c r="M36" s="360"/>
      <c r="N36" s="361"/>
      <c r="O36" s="360"/>
      <c r="P36" s="360"/>
      <c r="Q36" s="360"/>
      <c r="R36" s="360"/>
    </row>
    <row r="37" spans="1:18" ht="15.75" x14ac:dyDescent="0.25">
      <c r="D37" s="389"/>
      <c r="E37" s="390"/>
      <c r="F37" s="390"/>
      <c r="G37" s="390" t="s">
        <v>268</v>
      </c>
      <c r="H37" s="390"/>
      <c r="I37" s="391"/>
      <c r="J37" s="389"/>
      <c r="K37" s="390"/>
      <c r="L37" s="390" t="s">
        <v>269</v>
      </c>
      <c r="M37" s="390"/>
      <c r="N37" s="390"/>
      <c r="O37" s="390"/>
      <c r="P37" s="390"/>
      <c r="Q37" s="391"/>
      <c r="R37" s="360"/>
    </row>
    <row r="38" spans="1:18" ht="15.75" x14ac:dyDescent="0.25">
      <c r="C38" s="392" t="s">
        <v>279</v>
      </c>
      <c r="D38" s="388" t="s">
        <v>154</v>
      </c>
      <c r="E38" s="388" t="s">
        <v>158</v>
      </c>
      <c r="F38" s="388" t="s">
        <v>155</v>
      </c>
      <c r="G38" s="388" t="s">
        <v>156</v>
      </c>
      <c r="H38" s="388" t="s">
        <v>157</v>
      </c>
      <c r="I38" s="388" t="s">
        <v>160</v>
      </c>
      <c r="J38" s="388" t="s">
        <v>144</v>
      </c>
      <c r="K38" s="388" t="s">
        <v>142</v>
      </c>
      <c r="L38" s="388" t="s">
        <v>141</v>
      </c>
      <c r="M38" s="388" t="s">
        <v>138</v>
      </c>
      <c r="N38" s="388" t="s">
        <v>139</v>
      </c>
      <c r="O38" s="285" t="s">
        <v>140</v>
      </c>
      <c r="P38" s="285" t="s">
        <v>143</v>
      </c>
      <c r="Q38" s="388" t="s">
        <v>183</v>
      </c>
    </row>
    <row r="39" spans="1:18" ht="15.75" x14ac:dyDescent="0.25">
      <c r="A39" s="387" t="s">
        <v>268</v>
      </c>
      <c r="B39" s="387" t="s">
        <v>146</v>
      </c>
      <c r="C39" s="392" t="str">
        <f>T9</f>
        <v>Søye høgdrektig 6-4</v>
      </c>
      <c r="D39" s="393" t="e">
        <f>(Planlegging!$D$56*Mineraldekning!D30)+(Planlegging!$D$57*Mineraldekning!D31)+(Planlegging!$E$68*Mineraldekning!D35)</f>
        <v>#DIV/0!</v>
      </c>
      <c r="E39" s="393" t="e">
        <f>(Planlegging!$D$56*Mineraldekning!E30)+(Planlegging!$D$57*Mineraldekning!E31)+(Planlegging!$E$68*Mineraldekning!H35)</f>
        <v>#DIV/0!</v>
      </c>
      <c r="F39" s="393" t="e">
        <f>(Planlegging!$D$56*Mineraldekning!F30)+(Planlegging!$D$57*Mineraldekning!F31)+(Planlegging!$E$68*Mineraldekning!E35)</f>
        <v>#DIV/0!</v>
      </c>
      <c r="G39" s="393" t="e">
        <f>(Planlegging!$D$56*Mineraldekning!G30)+(Planlegging!$D$57*Mineraldekning!G31)+(Planlegging!$E$68*Mineraldekning!F35)</f>
        <v>#DIV/0!</v>
      </c>
      <c r="H39" s="393" t="e">
        <f>(Planlegging!$D$56*Mineraldekning!H30)+(Planlegging!$D$57*Mineraldekning!H31)+(Planlegging!$E$68*Mineraldekning!G35)</f>
        <v>#DIV/0!</v>
      </c>
      <c r="I39" s="393" t="e">
        <f>(Planlegging!$D$56*Mineraldekning!I30)+(Planlegging!$D$57*Mineraldekning!I31)+(Planlegging!$E$68*Mineraldekning!J35)</f>
        <v>#DIV/0!</v>
      </c>
      <c r="J39" s="393" t="e">
        <f>(Planlegging!$D$56*Mineraldekning!J30)+(Planlegging!$D$57*Mineraldekning!J31)+(Planlegging!$E$68*Mineraldekning!Q35)</f>
        <v>#DIV/0!</v>
      </c>
      <c r="K39" s="393" t="e">
        <f>(Planlegging!$D$56*Mineraldekning!K30)+(Planlegging!$D$57*Mineraldekning!K31)+(Planlegging!$E$68*Mineraldekning!O35)</f>
        <v>#DIV/0!</v>
      </c>
      <c r="L39" s="393" t="e">
        <f>(Planlegging!$D$56*Mineraldekning!L30)+(Planlegging!$D$57*Mineraldekning!L31)+(Planlegging!$E$68*Mineraldekning!N35)</f>
        <v>#DIV/0!</v>
      </c>
      <c r="M39" s="393" t="e">
        <f>(Planlegging!$D$56*Mineraldekning!M30)+(Planlegging!$D$57*Mineraldekning!M31)+(Planlegging!$E$68*Mineraldekning!K35)</f>
        <v>#DIV/0!</v>
      </c>
      <c r="N39" s="393" t="e">
        <f>(Planlegging!$D$56*Mineraldekning!N30)+(Planlegging!$D$57*Mineraldekning!N31)+(Planlegging!$E$68*Mineraldekning!L35)</f>
        <v>#DIV/0!</v>
      </c>
      <c r="O39" s="393" t="e">
        <f>(Planlegging!$D$56*Mineraldekning!O30)+(Planlegging!$D$57*Mineraldekning!O31)+(Planlegging!$E$68*Mineraldekning!M35)</f>
        <v>#DIV/0!</v>
      </c>
      <c r="P39" s="393" t="e">
        <f>(Planlegging!$D$56*Mineraldekning!P30)+(Planlegging!$D$57*Mineraldekning!P31)+(Planlegging!$E$68*Mineraldekning!P35)</f>
        <v>#DIV/0!</v>
      </c>
      <c r="Q39" s="393" t="e">
        <f>(Planlegging!$D$56*Mineraldekning!Q30)+(Planlegging!$D$57*Mineraldekning!Q31)+(Planlegging!$E$68*Mineraldekning!R35)</f>
        <v>#DIV/0!</v>
      </c>
    </row>
    <row r="40" spans="1:18" ht="15.75" x14ac:dyDescent="0.25">
      <c r="A40" s="340">
        <v>0</v>
      </c>
      <c r="B40" s="340">
        <v>1</v>
      </c>
      <c r="C40" s="383"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0" s="384">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0" s="384">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0" s="384">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0" s="384">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0" s="384">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0" s="384">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0" s="384">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0" s="384">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0" s="384">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0" s="384">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0" s="384">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0" s="384">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0" s="384">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0" s="384">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1" spans="1:18" ht="15.75" x14ac:dyDescent="0.25">
      <c r="A41" s="340">
        <v>0</v>
      </c>
      <c r="B41" s="340">
        <v>9</v>
      </c>
      <c r="C41" s="383"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1" s="384">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1" s="384">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1" s="384">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1" s="384">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1" s="384">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1" s="384">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1" s="384">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1" s="384">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1" s="384">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1" s="384">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1" s="384">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1" s="384">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1" s="384">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1" s="384">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42" spans="1:18" ht="15.75" x14ac:dyDescent="0.25">
      <c r="C42" s="385" t="s">
        <v>283</v>
      </c>
      <c r="D42" s="386" t="e">
        <f>(D39+D40+D41)/U9</f>
        <v>#DIV/0!</v>
      </c>
      <c r="E42" s="386" t="e">
        <f t="shared" ref="E42:Q42" si="3">(E39+E40+E41)/V9</f>
        <v>#DIV/0!</v>
      </c>
      <c r="F42" s="386" t="e">
        <f t="shared" si="3"/>
        <v>#DIV/0!</v>
      </c>
      <c r="G42" s="386" t="e">
        <f t="shared" si="3"/>
        <v>#DIV/0!</v>
      </c>
      <c r="H42" s="386" t="e">
        <f t="shared" si="3"/>
        <v>#DIV/0!</v>
      </c>
      <c r="I42" s="386" t="e">
        <f t="shared" si="3"/>
        <v>#DIV/0!</v>
      </c>
      <c r="J42" s="386" t="e">
        <f t="shared" si="3"/>
        <v>#DIV/0!</v>
      </c>
      <c r="K42" s="386" t="e">
        <f t="shared" si="3"/>
        <v>#DIV/0!</v>
      </c>
      <c r="L42" s="386" t="e">
        <f t="shared" si="3"/>
        <v>#DIV/0!</v>
      </c>
      <c r="M42" s="386" t="e">
        <f t="shared" si="3"/>
        <v>#DIV/0!</v>
      </c>
      <c r="N42" s="386" t="e">
        <f t="shared" si="3"/>
        <v>#DIV/0!</v>
      </c>
      <c r="O42" s="386" t="e">
        <f t="shared" si="3"/>
        <v>#DIV/0!</v>
      </c>
      <c r="P42" s="386" t="e">
        <f t="shared" si="3"/>
        <v>#DIV/0!</v>
      </c>
      <c r="Q42" s="386" t="e">
        <f t="shared" si="3"/>
        <v>#DIV/0!</v>
      </c>
    </row>
    <row r="43" spans="1:18" ht="15.75" x14ac:dyDescent="0.25">
      <c r="C43" s="392" t="str">
        <f>T10</f>
        <v>Søye høgdrektig 4-2</v>
      </c>
      <c r="D43" s="393" t="e">
        <f>(Planlegging!$D$56*Mineraldekning!D30)+(Planlegging!$D$57*Mineraldekning!D31)+(Planlegging!$F$68*Mineraldekning!D35)</f>
        <v>#DIV/0!</v>
      </c>
      <c r="E43" s="393" t="e">
        <f>(Planlegging!$D$56*Mineraldekning!E30)+(Planlegging!$D$57*Mineraldekning!E31)+(Planlegging!$F$68*Mineraldekning!H35)</f>
        <v>#DIV/0!</v>
      </c>
      <c r="F43" s="393" t="e">
        <f>(Planlegging!$D$56*Mineraldekning!F30)+(Planlegging!$D$57*Mineraldekning!F31)+(Planlegging!$F$68*Mineraldekning!E35)</f>
        <v>#DIV/0!</v>
      </c>
      <c r="G43" s="393" t="e">
        <f>(Planlegging!$D$56*Mineraldekning!G30)+(Planlegging!$D$57*Mineraldekning!G31)+(Planlegging!$F$68*Mineraldekning!F35)</f>
        <v>#DIV/0!</v>
      </c>
      <c r="H43" s="393" t="e">
        <f>(Planlegging!$D$56*Mineraldekning!H30)+(Planlegging!$D$57*Mineraldekning!H31)+(Planlegging!$F$68*Mineraldekning!G35)</f>
        <v>#DIV/0!</v>
      </c>
      <c r="I43" s="393" t="e">
        <f>(Planlegging!$D$56*Mineraldekning!I30)+(Planlegging!$D$57*Mineraldekning!I31)+(Planlegging!$F$68*Mineraldekning!J35)</f>
        <v>#DIV/0!</v>
      </c>
      <c r="J43" s="393" t="e">
        <f>(Planlegging!$D$56*Mineraldekning!J30)+(Planlegging!$D$57*Mineraldekning!J31)+(Planlegging!$F$68*Mineraldekning!Q35)</f>
        <v>#DIV/0!</v>
      </c>
      <c r="K43" s="393" t="e">
        <f>(Planlegging!$D$56*Mineraldekning!K30)+(Planlegging!$D$57*Mineraldekning!K31)+(Planlegging!$F$68*Mineraldekning!O35)</f>
        <v>#DIV/0!</v>
      </c>
      <c r="L43" s="393" t="e">
        <f>(Planlegging!$D$56*Mineraldekning!L30)+(Planlegging!$D$57*Mineraldekning!L31)+(Planlegging!$F$68*Mineraldekning!N35)</f>
        <v>#DIV/0!</v>
      </c>
      <c r="M43" s="393" t="e">
        <f>(Planlegging!$D$56*Mineraldekning!M30)+(Planlegging!$D$57*Mineraldekning!M31)+(Planlegging!$F$68*Mineraldekning!K35)</f>
        <v>#DIV/0!</v>
      </c>
      <c r="N43" s="393" t="e">
        <f>(Planlegging!$D$56*Mineraldekning!N30)+(Planlegging!$D$57*Mineraldekning!N31)+(Planlegging!$F$68*Mineraldekning!L35)</f>
        <v>#DIV/0!</v>
      </c>
      <c r="O43" s="393" t="e">
        <f>(Planlegging!$D$56*Mineraldekning!O30)+(Planlegging!$D$57*Mineraldekning!O31)+(Planlegging!$F$68*Mineraldekning!M35)</f>
        <v>#DIV/0!</v>
      </c>
      <c r="P43" s="393" t="e">
        <f>(Planlegging!$D$56*Mineraldekning!P30)+(Planlegging!$D$57*Mineraldekning!P31)+(Planlegging!$F$68*Mineraldekning!P35)</f>
        <v>#DIV/0!</v>
      </c>
      <c r="Q43" s="393" t="e">
        <f>(Planlegging!$D$56*Mineraldekning!Q30)+(Planlegging!$D$57*Mineraldekning!Q31)+(Planlegging!$F$68*Mineraldekning!R35)</f>
        <v>#DIV/0!</v>
      </c>
    </row>
    <row r="44" spans="1:18" ht="15.75" x14ac:dyDescent="0.25">
      <c r="C44" s="383"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4" s="384">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4" s="384">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4" s="384">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4" s="384">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4" s="384">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4" s="384">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4" s="384">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4" s="384">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4" s="384">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4" s="384">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4" s="384">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4" s="384">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4" s="384">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4" s="384">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5" spans="1:18" ht="15.75" x14ac:dyDescent="0.25">
      <c r="C45" s="383"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5" s="384">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5" s="384">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5" s="384">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5" s="384">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5" s="384">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5" s="384">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5" s="384">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5" s="384">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5" s="384">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5" s="384">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5" s="384">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5" s="384">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5" s="384">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5" s="384">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46" spans="1:18" ht="15.75" x14ac:dyDescent="0.25">
      <c r="C46" s="385" t="s">
        <v>283</v>
      </c>
      <c r="D46" s="386" t="e">
        <f>(D43+D44+D45)/U10</f>
        <v>#DIV/0!</v>
      </c>
      <c r="E46" s="386" t="e">
        <f t="shared" ref="E46:Q46" si="4">(E43+E44+E45)/V10</f>
        <v>#DIV/0!</v>
      </c>
      <c r="F46" s="386" t="e">
        <f t="shared" si="4"/>
        <v>#DIV/0!</v>
      </c>
      <c r="G46" s="386" t="e">
        <f t="shared" si="4"/>
        <v>#DIV/0!</v>
      </c>
      <c r="H46" s="386" t="e">
        <f t="shared" si="4"/>
        <v>#DIV/0!</v>
      </c>
      <c r="I46" s="386" t="e">
        <f t="shared" si="4"/>
        <v>#DIV/0!</v>
      </c>
      <c r="J46" s="386" t="e">
        <f t="shared" si="4"/>
        <v>#DIV/0!</v>
      </c>
      <c r="K46" s="386" t="e">
        <f t="shared" si="4"/>
        <v>#DIV/0!</v>
      </c>
      <c r="L46" s="386" t="e">
        <f t="shared" si="4"/>
        <v>#DIV/0!</v>
      </c>
      <c r="M46" s="386" t="e">
        <f t="shared" si="4"/>
        <v>#DIV/0!</v>
      </c>
      <c r="N46" s="386" t="e">
        <f t="shared" si="4"/>
        <v>#DIV/0!</v>
      </c>
      <c r="O46" s="386" t="e">
        <f t="shared" si="4"/>
        <v>#DIV/0!</v>
      </c>
      <c r="P46" s="386" t="e">
        <f t="shared" si="4"/>
        <v>#DIV/0!</v>
      </c>
      <c r="Q46" s="386" t="e">
        <f t="shared" si="4"/>
        <v>#DIV/0!</v>
      </c>
    </row>
    <row r="47" spans="1:18" ht="15.75" x14ac:dyDescent="0.25">
      <c r="C47" s="392" t="str">
        <f>T11</f>
        <v>Søye høgdrektig 2-0</v>
      </c>
      <c r="D47" s="393" t="e">
        <f>(Planlegging!$D$56*Mineraldekning!D30)+(Planlegging!$D$57*Mineraldekning!D31)+(Planlegging!$G$69*Mineraldekning!D35)</f>
        <v>#DIV/0!</v>
      </c>
      <c r="E47" s="393" t="e">
        <f>(Planlegging!$D$56*Mineraldekning!E30)+(Planlegging!$D$57*Mineraldekning!E31)+(Planlegging!$G$69*Mineraldekning!H35)</f>
        <v>#DIV/0!</v>
      </c>
      <c r="F47" s="393" t="e">
        <f>(Planlegging!$D$56*Mineraldekning!F30)+(Planlegging!$D$57*Mineraldekning!F31)+(Planlegging!$G$69*Mineraldekning!E35)</f>
        <v>#DIV/0!</v>
      </c>
      <c r="G47" s="393" t="e">
        <f>(Planlegging!$D$56*Mineraldekning!G30)+(Planlegging!$D$57*Mineraldekning!G31)+(Planlegging!$G$69*Mineraldekning!F35)</f>
        <v>#DIV/0!</v>
      </c>
      <c r="H47" s="393" t="e">
        <f>(Planlegging!$D$56*Mineraldekning!H30)+(Planlegging!$D$57*Mineraldekning!H31)+(Planlegging!$G$69*Mineraldekning!G35)</f>
        <v>#DIV/0!</v>
      </c>
      <c r="I47" s="393" t="e">
        <f>(Planlegging!$D$56*Mineraldekning!I30)+(Planlegging!$D$57*Mineraldekning!I31)+(Planlegging!$G$69*Mineraldekning!J35)</f>
        <v>#DIV/0!</v>
      </c>
      <c r="J47" s="393" t="e">
        <f>(Planlegging!$D$56*Mineraldekning!J30)+(Planlegging!$D$57*Mineraldekning!J31)+(Planlegging!$G$69*Mineraldekning!Q35)</f>
        <v>#DIV/0!</v>
      </c>
      <c r="K47" s="393" t="e">
        <f>(Planlegging!$D$56*Mineraldekning!K30)+(Planlegging!$D$57*Mineraldekning!K31)+(Planlegging!$G$69*Mineraldekning!O35)</f>
        <v>#DIV/0!</v>
      </c>
      <c r="L47" s="393" t="e">
        <f>(Planlegging!$D$56*Mineraldekning!L30)+(Planlegging!$D$57*Mineraldekning!L31)+(Planlegging!$G$69*Mineraldekning!N35)</f>
        <v>#DIV/0!</v>
      </c>
      <c r="M47" s="393" t="e">
        <f>(Planlegging!$D$56*Mineraldekning!M30)+(Planlegging!$D$57*Mineraldekning!M31)+(Planlegging!$G$69*Mineraldekning!K35)</f>
        <v>#DIV/0!</v>
      </c>
      <c r="N47" s="393" t="e">
        <f>(Planlegging!$D$56*Mineraldekning!N30)+(Planlegging!$D$57*Mineraldekning!N31)+(Planlegging!$G$69*Mineraldekning!L35)</f>
        <v>#DIV/0!</v>
      </c>
      <c r="O47" s="393" t="e">
        <f>(Planlegging!$D$56*Mineraldekning!O30)+(Planlegging!$D$57*Mineraldekning!O31)+(Planlegging!$G$69*Mineraldekning!M35)</f>
        <v>#DIV/0!</v>
      </c>
      <c r="P47" s="393" t="e">
        <f>(Planlegging!$D$56*Mineraldekning!P30)+(Planlegging!$D$57*Mineraldekning!P31)+(Planlegging!$G$69*Mineraldekning!P35)</f>
        <v>#DIV/0!</v>
      </c>
      <c r="Q47" s="393" t="e">
        <f>(Planlegging!$D$56*Mineraldekning!Q30)+(Planlegging!$D$57*Mineraldekning!Q31)+(Planlegging!$G$69*Mineraldekning!R35)</f>
        <v>#DIV/0!</v>
      </c>
    </row>
    <row r="48" spans="1:18" ht="15.75" x14ac:dyDescent="0.25">
      <c r="C48" s="383"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8" s="384">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8" s="384">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8" s="384">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8" s="384">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8" s="384">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8" s="384">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8" s="384">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8" s="384">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8" s="384">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8" s="384">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8" s="384">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8" s="384">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8" s="384">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8" s="384">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9" spans="1:18" ht="15.75" x14ac:dyDescent="0.25">
      <c r="C49" s="383"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9" s="384">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9" s="384">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9" s="384">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9" s="384">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9" s="384">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9" s="384">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9" s="384">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9" s="384">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9" s="384">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9" s="384">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9" s="384">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9" s="384">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9" s="384">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9" s="384">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50" spans="1:18" ht="15.75" x14ac:dyDescent="0.25">
      <c r="C50" s="385" t="s">
        <v>283</v>
      </c>
      <c r="D50" s="386" t="e">
        <f>(D47+D48+D49)/U11</f>
        <v>#DIV/0!</v>
      </c>
      <c r="E50" s="386" t="e">
        <f t="shared" ref="E50:Q50" si="5">(E47+E48+E49)/V11</f>
        <v>#DIV/0!</v>
      </c>
      <c r="F50" s="386" t="e">
        <f t="shared" si="5"/>
        <v>#DIV/0!</v>
      </c>
      <c r="G50" s="386" t="e">
        <f t="shared" si="5"/>
        <v>#DIV/0!</v>
      </c>
      <c r="H50" s="386" t="e">
        <f t="shared" si="5"/>
        <v>#DIV/0!</v>
      </c>
      <c r="I50" s="386" t="e">
        <f t="shared" si="5"/>
        <v>#DIV/0!</v>
      </c>
      <c r="J50" s="386" t="e">
        <f t="shared" si="5"/>
        <v>#DIV/0!</v>
      </c>
      <c r="K50" s="386" t="e">
        <f t="shared" si="5"/>
        <v>#DIV/0!</v>
      </c>
      <c r="L50" s="386" t="e">
        <f t="shared" si="5"/>
        <v>#DIV/0!</v>
      </c>
      <c r="M50" s="386" t="e">
        <f t="shared" si="5"/>
        <v>#DIV/0!</v>
      </c>
      <c r="N50" s="386" t="e">
        <f t="shared" si="5"/>
        <v>#DIV/0!</v>
      </c>
      <c r="O50" s="386" t="e">
        <f t="shared" si="5"/>
        <v>#DIV/0!</v>
      </c>
      <c r="P50" s="386" t="e">
        <f t="shared" si="5"/>
        <v>#DIV/0!</v>
      </c>
      <c r="Q50" s="386" t="e">
        <f t="shared" si="5"/>
        <v>#DIV/0!</v>
      </c>
    </row>
    <row r="51" spans="1:18" x14ac:dyDescent="0.25">
      <c r="D51" s="379"/>
      <c r="E51" s="378"/>
      <c r="F51" s="378"/>
      <c r="G51" s="378"/>
      <c r="H51" s="378"/>
      <c r="I51" s="378"/>
      <c r="J51" s="378"/>
      <c r="K51" s="378"/>
      <c r="L51" s="378"/>
      <c r="M51" s="378"/>
      <c r="N51" s="378"/>
      <c r="O51" s="378"/>
      <c r="P51" s="378"/>
      <c r="Q51" s="378"/>
    </row>
    <row r="52" spans="1:18" ht="21" x14ac:dyDescent="0.35">
      <c r="D52" s="379"/>
      <c r="E52" s="378"/>
      <c r="F52" s="378"/>
      <c r="G52" s="378"/>
      <c r="H52" s="378"/>
      <c r="I52" s="380" t="s">
        <v>285</v>
      </c>
      <c r="J52" s="378"/>
      <c r="K52" s="378"/>
      <c r="L52" s="378"/>
      <c r="M52" s="378"/>
      <c r="N52" s="378"/>
      <c r="O52" s="378"/>
      <c r="P52" s="378"/>
      <c r="Q52" s="378"/>
    </row>
    <row r="53" spans="1:18" ht="15.75" x14ac:dyDescent="0.25">
      <c r="D53" s="394"/>
      <c r="E53" s="395"/>
      <c r="F53" s="395" t="s">
        <v>265</v>
      </c>
      <c r="G53" s="395"/>
      <c r="H53" s="395"/>
      <c r="I53" s="396"/>
      <c r="J53" s="394"/>
      <c r="K53" s="395"/>
      <c r="L53" s="395"/>
      <c r="M53" s="395"/>
      <c r="N53" s="395" t="s">
        <v>266</v>
      </c>
      <c r="O53" s="395"/>
      <c r="P53" s="395"/>
      <c r="Q53" s="396"/>
    </row>
    <row r="54" spans="1:18" ht="21" x14ac:dyDescent="0.35">
      <c r="C54" s="380" t="s">
        <v>267</v>
      </c>
      <c r="D54" s="285" t="s">
        <v>154</v>
      </c>
      <c r="E54" s="285" t="s">
        <v>158</v>
      </c>
      <c r="F54" s="285" t="s">
        <v>155</v>
      </c>
      <c r="G54" s="285" t="s">
        <v>156</v>
      </c>
      <c r="H54" s="285" t="s">
        <v>157</v>
      </c>
      <c r="I54" s="285" t="s">
        <v>160</v>
      </c>
      <c r="J54" s="285" t="s">
        <v>144</v>
      </c>
      <c r="K54" s="285" t="s">
        <v>142</v>
      </c>
      <c r="L54" s="285" t="s">
        <v>141</v>
      </c>
      <c r="M54" s="285" t="s">
        <v>138</v>
      </c>
      <c r="N54" s="285" t="s">
        <v>139</v>
      </c>
      <c r="O54" s="397" t="s">
        <v>140</v>
      </c>
      <c r="P54" s="123" t="s">
        <v>143</v>
      </c>
      <c r="Q54" s="398" t="s">
        <v>183</v>
      </c>
    </row>
    <row r="55" spans="1:18" ht="21" x14ac:dyDescent="0.35">
      <c r="B55" s="381">
        <f>Planlegging!B92</f>
        <v>1</v>
      </c>
      <c r="C55" s="381">
        <f>Planlegging!C92</f>
        <v>0</v>
      </c>
      <c r="D55" s="340">
        <v>4.0999999999999996</v>
      </c>
      <c r="E55" s="340">
        <v>22</v>
      </c>
      <c r="F55" s="340">
        <v>2.8</v>
      </c>
      <c r="G55" s="340">
        <v>1.4</v>
      </c>
      <c r="H55" s="340">
        <v>0.3</v>
      </c>
      <c r="I55" s="340">
        <v>1.8</v>
      </c>
      <c r="J55" s="340">
        <v>220</v>
      </c>
      <c r="K55" s="340">
        <v>70</v>
      </c>
      <c r="L55" s="340">
        <v>57</v>
      </c>
      <c r="M55" s="340">
        <v>5</v>
      </c>
      <c r="N55" s="340">
        <v>0.02</v>
      </c>
      <c r="O55" s="340">
        <v>0.2</v>
      </c>
      <c r="P55" s="340">
        <v>0</v>
      </c>
      <c r="Q55" s="340">
        <v>75</v>
      </c>
    </row>
    <row r="56" spans="1:18" ht="21" x14ac:dyDescent="0.35">
      <c r="B56" s="381">
        <f>Planlegging!B93</f>
        <v>6</v>
      </c>
      <c r="C56" s="381" t="str">
        <f>Planlegging!C93</f>
        <v>Ingen grovfôr nr 2</v>
      </c>
      <c r="D56" s="340"/>
      <c r="E56" s="340"/>
      <c r="F56" s="340"/>
      <c r="G56" s="340"/>
      <c r="H56" s="340"/>
      <c r="I56" s="340"/>
      <c r="J56" s="340"/>
      <c r="K56" s="340"/>
      <c r="L56" s="340"/>
      <c r="M56" s="340"/>
      <c r="N56" s="340"/>
      <c r="O56" s="340"/>
      <c r="P56" s="340"/>
      <c r="Q56" s="340"/>
    </row>
    <row r="58" spans="1:18" ht="15.75" x14ac:dyDescent="0.25">
      <c r="D58" s="499" t="s">
        <v>137</v>
      </c>
      <c r="E58" s="499"/>
      <c r="F58" s="499"/>
      <c r="G58" s="499"/>
      <c r="H58" s="499"/>
      <c r="I58" s="499"/>
      <c r="J58" s="499"/>
      <c r="K58" s="399" t="s">
        <v>138</v>
      </c>
      <c r="L58" s="400" t="s">
        <v>139</v>
      </c>
      <c r="M58" s="400" t="s">
        <v>140</v>
      </c>
      <c r="N58" s="400" t="s">
        <v>141</v>
      </c>
      <c r="O58" s="400" t="s">
        <v>142</v>
      </c>
      <c r="P58" s="400" t="s">
        <v>143</v>
      </c>
      <c r="Q58" s="401" t="s">
        <v>144</v>
      </c>
      <c r="R58" s="401" t="s">
        <v>145</v>
      </c>
    </row>
    <row r="59" spans="1:18" ht="21" x14ac:dyDescent="0.35">
      <c r="C59" s="380" t="s">
        <v>274</v>
      </c>
      <c r="D59" s="402" t="s">
        <v>154</v>
      </c>
      <c r="E59" s="403" t="s">
        <v>155</v>
      </c>
      <c r="F59" s="403" t="s">
        <v>156</v>
      </c>
      <c r="G59" s="403" t="s">
        <v>157</v>
      </c>
      <c r="H59" s="403" t="s">
        <v>158</v>
      </c>
      <c r="I59" s="403" t="s">
        <v>159</v>
      </c>
      <c r="J59" s="404" t="s">
        <v>160</v>
      </c>
      <c r="K59" s="399" t="s">
        <v>161</v>
      </c>
      <c r="L59" s="403" t="s">
        <v>161</v>
      </c>
      <c r="M59" s="403" t="s">
        <v>161</v>
      </c>
      <c r="N59" s="403" t="s">
        <v>161</v>
      </c>
      <c r="O59" s="403" t="s">
        <v>161</v>
      </c>
      <c r="P59" s="403" t="s">
        <v>161</v>
      </c>
      <c r="Q59" s="401" t="s">
        <v>161</v>
      </c>
      <c r="R59" s="401" t="s">
        <v>161</v>
      </c>
    </row>
    <row r="60" spans="1:18" ht="21" x14ac:dyDescent="0.35">
      <c r="B60" s="382">
        <f>Planlegging!B97</f>
        <v>1</v>
      </c>
      <c r="C60" s="382" t="str">
        <f>Planlegging!C97</f>
        <v xml:space="preserve">Formel Sau FK Agri </v>
      </c>
      <c r="D60" s="405">
        <f>IF($B$60=1,'Aktuelle fôrslag'!$N$26,IF($B$60=2,'Aktuelle fôrslag'!$N$27,IF($B$60=3,'Aktuelle fôrslag'!$N$28,IF($B$60=4,'Aktuelle fôrslag'!$N$29,IF($B$60=5,'Aktuelle fôrslag'!$N$30,IF($B$60=6,'Aktuelle fôrslag'!$N$31,IF($B$60=7,'Aktuelle fôrslag'!$N$32,IF($B$60=8,'Aktuelle fôrslag'!$N$33,IF($B$60=9,'Aktuelle fôrslag'!$N$34,IF($B$60=10,'Aktuelle fôrslag'!$N$35,IF($B$60=11,'Aktuelle fôrslag'!$N$36,IF($B$60=12,'Aktuelle fôrslag'!$N$37,IF($B$60=13,'Aktuelle fôrslag'!$N$38,IF($B$60=14,'Aktuelle fôrslag'!$N$39,IF($B$60=15,'Aktuelle fôrslag'!$N$40,IF($B$60=16,'Aktuelle fôrslag'!$N$41,IF($B$60=17,'Aktuelle fôrslag'!$N$42,IF($B$60=18,'Aktuelle fôrslag'!$N$43,IF($B$60=19,'Aktuelle fôrslag'!$N$44,IF($B$60=20,'Aktuelle fôrslag'!$N$45,IF($B$60=21,'Aktuelle fôrslag'!$N$46,IF($B$60=22,'Aktuelle fôrslag'!$N$47,'Aktuelle fôrslag'!$N$48))))))))))))))))))))))</f>
        <v>8.0000000000000002E-3</v>
      </c>
      <c r="E60" s="405">
        <f>IF($B$60=1,'Aktuelle fôrslag'!$O$26,IF($B$60=2,'Aktuelle fôrslag'!$O$27,IF($B$60=3,'Aktuelle fôrslag'!$O$28,IF($B$60=4,'Aktuelle fôrslag'!$O$29,IF($B$60=5,'Aktuelle fôrslag'!$O$30,IF($B$60=6,'Aktuelle fôrslag'!$O$31,IF($B$60=7,'Aktuelle fôrslag'!$O$32,IF($B$60=8,'Aktuelle fôrslag'!$O$33,IF($B$60=9,'Aktuelle fôrslag'!$O$34,IF($B$60=10,'Aktuelle fôrslag'!$O$35,IF($B$60=11,'Aktuelle fôrslag'!$O$36,IF($B$60=12,'Aktuelle fôrslag'!$O$37,IF($B$60=13,'Aktuelle fôrslag'!$O$38,IF($B$60=14,'Aktuelle fôrslag'!$O$39,IF($B$60=15,'Aktuelle fôrslag'!$O$40,IF($B$60=16,'Aktuelle fôrslag'!$O$41,IF($B$60=17,'Aktuelle fôrslag'!$O$42,IF($B$60=18,'Aktuelle fôrslag'!$O$43,IF($B$60=19,'Aktuelle fôrslag'!$O$44,IF($B$60=20,'Aktuelle fôrslag'!$O$45,IF($B$60=21,'Aktuelle fôrslag'!$O$46,IF($B$60=22,'Aktuelle fôrslag'!$O$47,'Aktuelle fôrslag'!$O$48))))))))))))))))))))))</f>
        <v>5.5000000000000005E-3</v>
      </c>
      <c r="F60" s="405">
        <f>IF($B$60=1,'Aktuelle fôrslag'!$P$26,IF($B$60=2,'Aktuelle fôrslag'!$P$27,IF($B$60=3,'Aktuelle fôrslag'!$P$28,IF($B$60=4,'Aktuelle fôrslag'!$P$29,IF($B$60=5,'Aktuelle fôrslag'!$P$30,IF($B$60=6,'Aktuelle fôrslag'!$P$31,IF($B$60=7,'Aktuelle fôrslag'!$P$32,IF($B$60=8,'Aktuelle fôrslag'!$P$33,IF($B$60=9,'Aktuelle fôrslag'!$P$34,IF($B$60=10,'Aktuelle fôrslag'!$P$35,IF($B$60=11,'Aktuelle fôrslag'!$P$36,IF($B$60=12,'Aktuelle fôrslag'!$P$37,IF($B$60=13,'Aktuelle fôrslag'!$Q$38,IF($B$60=14,'Aktuelle fôrslag'!$P$39,IF($B$60=15,'Aktuelle fôrslag'!$P$40,IF($B$60=16,'Aktuelle fôrslag'!$P$41,IF($B$60=17,'Aktuelle fôrslag'!$P$42,IF($B$60=18,'Aktuelle fôrslag'!$P$43,IF($B$60=19,'Aktuelle fôrslag'!$P$44,IF($B$60=20,'Aktuelle fôrslag'!$P$45,IF($B$60=21,'Aktuelle fôrslag'!$P$46,IF($B$60=22,'Aktuelle fôrslag'!$P$47,'Aktuelle fôrslag'!$P$48))))))))))))))))))))))</f>
        <v>3.0000000000000001E-3</v>
      </c>
      <c r="G60" s="405">
        <f>IF($B$60=1,'Aktuelle fôrslag'!$Q$26,IF($B$60=2,'Aktuelle fôrslag'!$Q$27,IF($B$60=3,'Aktuelle fôrslag'!$Q$28,IF($B$60=4,'Aktuelle fôrslag'!$Q$29,IF($B$60=5,'Aktuelle fôrslag'!$Q$30,IF($B$60=6,'Aktuelle fôrslag'!$Q$31,IF($B$60=7,'Aktuelle fôrslag'!$Q$32,IF($B$60=8,'Aktuelle fôrslag'!$Q$33,IF($B$60=9,'Aktuelle fôrslag'!$Q$34,IF($B$60=10,'Aktuelle fôrslag'!$Q$35,IF($B$60=11,'Aktuelle fôrslag'!$Q$36,IF($B$60=12,'Aktuelle fôrslag'!$Q$37,IF($B$60=13,'Aktuelle fôrslag'!$Q$38,IF($B$60=14,'Aktuelle fôrslag'!$Q$39,IF($B$60=15,'Aktuelle fôrslag'!$Q$40,IF($B$60=16,'Aktuelle fôrslag'!$Q$41,IF($B$60=17,'Aktuelle fôrslag'!$Q$42,IF($B$60=18,'Aktuelle fôrslag'!$Q$43,IF($B$60=19,'Aktuelle fôrslag'!$Q$44,IF($B$60=20,'Aktuelle fôrslag'!$Q$45,IF($B$60=21,'Aktuelle fôrslag'!$Q$46,IF($B$60=22,'Aktuelle fôrslag'!$Q$47,'Aktuelle fôrslag'!$Q$48))))))))))))))))))))))</f>
        <v>5.071692E-3</v>
      </c>
      <c r="H60" s="405">
        <f>IF($B$60=1,'Aktuelle fôrslag'!$R$26,IF($B$60=2,'Aktuelle fôrslag'!$R$27,IF($B$60=3,'Aktuelle fôrslag'!$R$28,IF($B$60=4,'Aktuelle fôrslag'!$R$29,IF($B$60=5,'Aktuelle fôrslag'!$R$30,IF($B$60=6,'Aktuelle fôrslag'!$R$31,IF($B$60=7,'Aktuelle fôrslag'!$R$32,IF($B$60=8,'Aktuelle fôrslag'!$R$33,IF($B$60=9,'Aktuelle fôrslag'!$R$34,IF($B$60=10,'Aktuelle fôrslag'!$R$35,IF($B$60=11,'Aktuelle fôrslag'!$R$36,IF($B$60=12,'Aktuelle fôrslag'!$R$37,IF($B$60=13,'Aktuelle fôrslag'!$R$38,IF($B$60=14,'Aktuelle fôrslag'!$R$39,IF($B$60=15,'Aktuelle fôrslag'!$R$40,IF($B$60=16,'Aktuelle fôrslag'!$R$41,IF($B$60=17,'Aktuelle fôrslag'!$R$42,IF($B$60=18,'Aktuelle fôrslag'!$R$43,IF($B$60=19,'Aktuelle fôrslag'!$R$44,IF($B$60=20,'Aktuelle fôrslag'!$R$45,IF($B$60=21,'Aktuelle fôrslag'!$R$46,IF($B$60=22,'Aktuelle fôrslag'!$R$47,'Aktuelle fôrslag'!$R$48))))))))))))))))))))))</f>
        <v>8.0471510000000007E-3</v>
      </c>
      <c r="I60" s="405">
        <f>IF($B$60=1,'Aktuelle fôrslag'!$S$26,IF($B$60=2,'Aktuelle fôrslag'!$S$27,IF($B$60=3,'Aktuelle fôrslag'!$S$28,IF($B$60=4,'Aktuelle fôrslag'!$S$29,IF($B$60=5,'Aktuelle fôrslag'!$S$30,IF($B$60=6,'Aktuelle fôrslag'!$S$31,IF($B$60=7,'Aktuelle fôrslag'!$S$32,IF($B$60=8,'Aktuelle fôrslag'!$S$33,IF($B$60=9,'Aktuelle fôrslag'!$S$34,IF($B$60=10,'Aktuelle fôrslag'!$S$35,IF($B$60=11,'Aktuelle fôrslag'!$S$36,IF($B$60=12,'Aktuelle fôrslag'!$S$37,IF($B$60=13,'Aktuelle fôrslag'!$S$38,IF($B$60=14,'Aktuelle fôrslag'!$S$39,IF($B$60=15,'Aktuelle fôrslag'!$S$40,IF($B$60=16,'Aktuelle fôrslag'!$S$41,IF($B$60=17,'Aktuelle fôrslag'!$S$42,IF($B$60=18,'Aktuelle fôrslag'!$S$43,IF($B$60=19,'Aktuelle fôrslag'!$S$44,IF($B$60=20,'Aktuelle fôrslag'!$S$45,IF($B$60=21,'Aktuelle fôrslag'!$S$46,IF($B$60=22,'Aktuelle fôrslag'!$S$47,'Aktuelle fôrslag'!$S$48))))))))))))))))))))))</f>
        <v>3.1737690000000003E-3</v>
      </c>
      <c r="J60" s="405">
        <f>IF($B$60=1,'Aktuelle fôrslag'!$T$26,IF($B$60=2,'Aktuelle fôrslag'!$T$27,IF($B$60=3,'Aktuelle fôrslag'!$T$28,IF($B$60=4,'Aktuelle fôrslag'!$T$29,IF($B$60=5,'Aktuelle fôrslag'!$T$30,IF($B$60=6,'Aktuelle fôrslag'!$T$31,IF($B$60=7,'Aktuelle fôrslag'!$T$32,IF($B$60=8,'Aktuelle fôrslag'!$T$33,IF($B$60=9,'Aktuelle fôrslag'!$T$34,IF($B$60=10,'Aktuelle fôrslag'!$T$35,IF($B$60=11,'Aktuelle fôrslag'!$T$36,IF($B$60=12,'Aktuelle fôrslag'!$T$37,IF($B$60=13,'Aktuelle fôrslag'!$T$38,IF($B$60=14,'Aktuelle fôrslag'!$T$39,IF($B$60=15,'Aktuelle fôrslag'!$T$40,IF($B$60=16,'Aktuelle fôrslag'!$T$41,IF($B$60=17,'Aktuelle fôrslag'!$T$42,IF($B$60=18,'Aktuelle fôrslag'!$T$43,IF($B$60=19,'Aktuelle fôrslag'!$T$44,IF($B$60=20,'Aktuelle fôrslag'!$T$45,IF($B$60=21,'Aktuelle fôrslag'!$T$46,IF($B$60=22,'Aktuelle fôrslag'!$T$47,'Aktuelle fôrslag'!$T$48))))))))))))))))))))))</f>
        <v>3.0000000000000001E-3</v>
      </c>
      <c r="K60" s="406">
        <f>IF($B$60=1,'Aktuelle fôrslag'!$U$26,IF($B$60=2,'Aktuelle fôrslag'!$U$27,IF($B$60=3,'Aktuelle fôrslag'!$U$28,IF($B$60=4,'Aktuelle fôrslag'!$U$29,IF($B$60=5,'Aktuelle fôrslag'!$U$30,IF($B$60=6,'Aktuelle fôrslag'!$U$31,IF($B$60=7,'Aktuelle fôrslag'!$U$32,IF($B$60=8,'Aktuelle fôrslag'!$U$33,IF($B$60=9,'Aktuelle fôrslag'!$U$34,IF($B$60=10,'Aktuelle fôrslag'!$U$35,IF($B$60=11,'Aktuelle fôrslag'!$U$36,IF($B$60=12,'Aktuelle fôrslag'!$U$37,IF($B$60=13,'Aktuelle fôrslag'!$U$38,IF($B$60=14,'Aktuelle fôrslag'!$U$39,IF($B$60=15,'Aktuelle fôrslag'!$U$40,IF($B$60=16,'Aktuelle fôrslag'!$U$41,IF($B$60=17,'Aktuelle fôrslag'!$U$42,IF($B$60=18,'Aktuelle fôrslag'!$U$43,IF($B$60=19,'Aktuelle fôrslag'!$U$44,IF($B$60=20,'Aktuelle fôrslag'!$U$45,IF($B$60=21,'Aktuelle fôrslag'!$U$46,IF($B$60=22,'Aktuelle fôrslag'!$U$47,'Aktuelle fôrslag'!$U$48))))))))))))))))))))))</f>
        <v>9.1415950000000006</v>
      </c>
      <c r="L60" s="406">
        <f>IF($B$60=1,'Aktuelle fôrslag'!$V$26,IF($B$60=2,'Aktuelle fôrslag'!$V$27,IF($B$60=3,'Aktuelle fôrslag'!$V$28,IF($B$60=4,'Aktuelle fôrslag'!$V$29,IF($B$60=5,'Aktuelle fôrslag'!$V$30,IF($B$60=6,'Aktuelle fôrslag'!$V$31,IF($B$60=7,'Aktuelle fôrslag'!$V$32,IF($B$60=8,'Aktuelle fôrslag'!$V$33,IF($B$60=9,'Aktuelle fôrslag'!$V$34,IF($B$60=10,'Aktuelle fôrslag'!$V$35,IF($B$60=11,'Aktuelle fôrslag'!$V$36,IF($B$60=12,'Aktuelle fôrslag'!$V$37,IF($B$60=13,'Aktuelle fôrslag'!$V$38,IF($B$60=14,'Aktuelle fôrslag'!$V$39,IF($B$60=15,'Aktuelle fôrslag'!$V$40,IF($B$60=16,'Aktuelle fôrslag'!$V$41,IF($B$60=17,'Aktuelle fôrslag'!$V$42,IF($B$60=18,'Aktuelle fôrslag'!$V$43,IF($B$60=19,'Aktuelle fôrslag'!$V$44,IF($B$60=20,'Aktuelle fôrslag'!$V$45,IF($B$60=21,'Aktuelle fôrslag'!$V$46,IF($B$60=22,'Aktuelle fôrslag'!$V$47,'Aktuelle fôrslag'!$V$48))))))))))))))))))))))</f>
        <v>0.40000010000000003</v>
      </c>
      <c r="M60" s="406">
        <f>IF($B$60=1,'Aktuelle fôrslag'!$W$26,IF($B$60=2,'Aktuelle fôrslag'!$W$27,IF($B$60=3,'Aktuelle fôrslag'!$W$28,IF($B$60=4,'Aktuelle fôrslag'!$W$29,IF($B$60=5,'Aktuelle fôrslag'!$W$30,IF($B$60=6,'Aktuelle fôrslag'!$W$31,IF($B$60=7,'Aktuelle fôrslag'!$W$32,IF($B$60=8,'Aktuelle fôrslag'!$W$33,IF($B$60=9,'Aktuelle fôrslag'!$W$34,IF($B$60=10,'Aktuelle fôrslag'!$W$35,IF($B$60=11,'Aktuelle fôrslag'!$W$36,IF($B$60=12,'Aktuelle fôrslag'!$W$37,IF($B$60=13,'Aktuelle fôrslag'!$W$38,IF($B$60=14,'Aktuelle fôrslag'!$W$39,IF($B$60=15,'Aktuelle fôrslag'!$W$40,IF($B$60=16,'Aktuelle fôrslag'!$W$41,IF($B$60=17,'Aktuelle fôrslag'!$W$42,IF($B$60=18,'Aktuelle fôrslag'!$W$43,IF($B$60=19,'Aktuelle fôrslag'!$W$44,IF($B$60=20,'Aktuelle fôrslag'!$W$45,IF($B$60=21,'Aktuelle fôrslag'!$W$46,IF($B$60=22,'Aktuelle fôrslag'!$W$47,'Aktuelle fôrslag'!$W$48))))))))))))))))))))))</f>
        <v>0.39</v>
      </c>
      <c r="N60" s="406">
        <f>IF($B$60=1,'Aktuelle fôrslag'!$X$26,IF($B$60=2,'Aktuelle fôrslag'!$X$27,IF($B$60=3,'Aktuelle fôrslag'!$X$28,IF($B$60=4,'Aktuelle fôrslag'!$X$29,IF($B$60=5,'Aktuelle fôrslag'!$X$30,IF($B$60=6,'Aktuelle fôrslag'!$X$31,IF($B$60=7,'Aktuelle fôrslag'!$X$32,IF($B$60=8,'Aktuelle fôrslag'!$X$33,IF($B$60=9,'Aktuelle fôrslag'!$X$34,IF($B$60=10,'Aktuelle fôrslag'!$X$35,IF($B$60=11,'Aktuelle fôrslag'!$X$36,IF($B$60=12,'Aktuelle fôrslag'!$X$37,IF($B$60=13,'Aktuelle fôrslag'!$X$38,IF($B$60=14,'Aktuelle fôrslag'!$X$39,IF($B$60=15,'Aktuelle fôrslag'!$X$40,IF($B$60=16,'Aktuelle fôrslag'!$X$41,IF($B$60=17,'Aktuelle fôrslag'!$X$42,IF($B$60=18,'Aktuelle fôrslag'!$X$43,IF($B$60=19,'Aktuelle fôrslag'!$X$44,IF($B$60=20,'Aktuelle fôrslag'!$X$45,IF($B$60=21,'Aktuelle fôrslag'!$X$46,IF($B$60=22,'Aktuelle fôrslag'!$X$47,'Aktuelle fôrslag'!$X$48))))))))))))))))))))))</f>
        <v>61.51379</v>
      </c>
      <c r="O60" s="406">
        <f>IF($B$60=1,'Aktuelle fôrslag'!$Y$26,IF($B$60=2,'Aktuelle fôrslag'!$Y$27,IF($B$60=3,'Aktuelle fôrslag'!$Y$28,IF($B$60=4,'Aktuelle fôrslag'!$Y$29,IF($B$60=5,'Aktuelle fôrslag'!$Y$30,IF($B$60=6,'Aktuelle fôrslag'!$Y$31,IF($B60=7,'Aktuelle fôrslag'!$Y$32,IF($B$60=8,'Aktuelle fôrslag'!$Y$33,IF($B$60=9,'Aktuelle fôrslag'!$Y$34,IF($B$60=10,'Aktuelle fôrslag'!$Y$35,IF($B$60=11,'Aktuelle fôrslag'!$Y$36,IF($B$60=12,'Aktuelle fôrslag'!$Y$37,IF($B$60=13,'Aktuelle fôrslag'!$Y$38,IF($B$60=14,'Aktuelle fôrslag'!$Y$39,IF($B$60=15,'Aktuelle fôrslag'!$Y$40,IF($B$60=16,'Aktuelle fôrslag'!$Y$41,IF($B$60=17,'Aktuelle fôrslag'!$Y$42,IF($B$60=18,'Aktuelle fôrslag'!$Y$43,IF($B$60=19,'Aktuelle fôrslag'!$Y$44,IF($B$60=20,'Aktuelle fôrslag'!$Y$45,IF($B$60=21,'Aktuelle fôrslag'!$Y$46,IF($B$60=22,'Aktuelle fôrslag'!$Y$47,'Aktuelle fôrslag'!$Y$48))))))))))))))))))))))</f>
        <v>61.51379</v>
      </c>
      <c r="P60" s="406">
        <f>IF($B$60=1,'Aktuelle fôrslag'!$Z$26,IF($B$60=2,'Aktuelle fôrslag'!$Z$27,IF($B$60=3,'Aktuelle fôrslag'!$Z$28,IF($B$60=4,'Aktuelle fôrslag'!$Z$29,IF($B$60=5,'Aktuelle fôrslag'!$Z$30,IF($B$60=6,'Aktuelle fôrslag'!$Z$31,IF($B$60=7,'Aktuelle fôrslag'!$Z$32,IF($B$60=8,'Aktuelle fôrslag'!$Z$33,IF($B$60=9,'Aktuelle fôrslag'!$Z$34,IF($B$60=10,'Aktuelle fôrslag'!$Z$35,IF($B$60=11,'Aktuelle fôrslag'!$Z$36,IF($B$60=12,'Aktuelle fôrslag'!$Z$37,IF($B$60=13,'Aktuelle fôrslag'!$Z$38,IF($B$60=14,'Aktuelle fôrslag'!$Z$39,IF($B$60=15,'Aktuelle fôrslag'!$Z$40,IF($B$60=16,'Aktuelle fôrslag'!$Z$41,IF($B$60=17,'Aktuelle fôrslag'!$Z$42,IF($B$60=18,'Aktuelle fôrslag'!$Z$43,IF($B$60=19,'Aktuelle fôrslag'!$Z$44,IF($B$60=20,'Aktuelle fôrslag'!$Z$45,IF($B$60=21,'Aktuelle fôrslag'!$Z$46,IF($B$60=22,'Aktuelle fôrslag'!$Z$47,'Aktuelle fôrslag'!$Z$48))))))))))))))))))))))</f>
        <v>4.3369660000000003</v>
      </c>
      <c r="Q60" s="406">
        <f>IF($B$60=1,'Aktuelle fôrslag'!$AA$26,IF($B$60=2,'Aktuelle fôrslag'!$AA$27,IF($B$60=3,'Aktuelle fôrslag'!$AA$28,IF($B$60=4,'Aktuelle fôrslag'!$AA$29,IF($B$60=5,'Aktuelle fôrslag'!$AA$30,IF($B$60=6,'Aktuelle fôrslag'!$AA$31,IF($B$60=7,'Aktuelle fôrslag'!$AA$32,IF($B$60=8,'Aktuelle fôrslag'!$AA$33,IF($B$60=9,'Aktuelle fôrslag'!$AA$34,IF($B$60=10,'Aktuelle fôrslag'!$AA$35,IF($B$60=11,'Aktuelle fôrslag'!$AA$36,IF($B$60=12,'Aktuelle fôrslag'!$AA$37,IF($B$60=13,'Aktuelle fôrslag'!$AA$38,IF($B$60=14,'Aktuelle fôrslag'!$AA$39,IF($B$60=15,'Aktuelle fôrslag'!$AA$40,IF($B$60=16,'Aktuelle fôrslag'!$AA$41,IF($B$60=17,'Aktuelle fôrslag'!$AA$42,IF($B$60=18,'Aktuelle fôrslag'!$AA$43,IF($B$60=19,'Aktuelle fôrslag'!$AA$44,IF($B$60=20,'Aktuelle fôrslag'!$AA$45,IF($B$60=21,'Aktuelle fôrslag'!$AA$46,IF($B$60=22,'Aktuelle fôrslag'!$AA$47,'Aktuelle fôrslag'!$AA$48))))))))))))))))))))))</f>
        <v>81.426770000000005</v>
      </c>
      <c r="R60" s="406">
        <f>IF($B$60=1,'Aktuelle fôrslag'!$AB$26,IF($B$60=2,'Aktuelle fôrslag'!$AB$27,IF($B$60=3,'Aktuelle fôrslag'!$AB$28,IF($B$60=4,'Aktuelle fôrslag'!$AB$29,IF($B$60=5,'Aktuelle fôrslag'!$AB$30,IF($B$60=6,'Aktuelle fôrslag'!$AB$31,IF($B$60=7,'Aktuelle fôrslag'!$AB$32,IF($B$60=8,'Aktuelle fôrslag'!$AB$33,IF($B$60=9,'Aktuelle fôrslag'!$AB$34,IF($B$60=10,'Aktuelle fôrslag'!$AB$35,IF($B$60=11,'Aktuelle fôrslag'!$AB$36,IF($B$60=12,'Aktuelle fôrslag'!$AB$37,IF($B$60=13,'Aktuelle fôrslag'!$AB$38,IF($B$60=14,'Aktuelle fôrslag'!$AB$39,IF($B$60=15,'Aktuelle fôrslag'!$AB$40,IF($B$60=16,'Aktuelle fôrslag'!$AB$41,IF($B$60=17,'Aktuelle fôrslag'!$AB$42,IF($B$60=18,'Aktuelle fôrslag'!$AB$43,IF($B$60=19,'Aktuelle fôrslag'!$AB$44,IF($B$60=20,'Aktuelle fôrslag'!$AB$45,IF($B$60=21,'Aktuelle fôrslag'!$AB$46,IF($B$60=22,'Aktuelle fôrslag'!$AB$47,'Aktuelle fôrslag'!$AB$48))))))))))))))))))))))</f>
        <v>200</v>
      </c>
    </row>
    <row r="62" spans="1:18" x14ac:dyDescent="0.25">
      <c r="D62" s="69"/>
      <c r="E62" s="26"/>
      <c r="F62" s="26"/>
      <c r="G62" s="26" t="s">
        <v>268</v>
      </c>
      <c r="H62" s="26"/>
      <c r="I62" s="26"/>
      <c r="J62" s="69"/>
      <c r="K62" s="26"/>
      <c r="L62" s="26">
        <v>5</v>
      </c>
      <c r="M62" s="26"/>
      <c r="N62" s="26"/>
      <c r="O62" s="26"/>
      <c r="P62" s="26"/>
      <c r="Q62" s="27"/>
    </row>
    <row r="63" spans="1:18" ht="15.75" x14ac:dyDescent="0.25">
      <c r="C63" s="392" t="s">
        <v>279</v>
      </c>
      <c r="D63" s="119" t="s">
        <v>154</v>
      </c>
      <c r="E63" s="119" t="s">
        <v>158</v>
      </c>
      <c r="F63" s="119" t="s">
        <v>155</v>
      </c>
      <c r="G63" s="119" t="s">
        <v>156</v>
      </c>
      <c r="H63" s="119" t="s">
        <v>157</v>
      </c>
      <c r="I63" s="119" t="s">
        <v>160</v>
      </c>
      <c r="J63" s="119" t="s">
        <v>144</v>
      </c>
      <c r="K63" s="119" t="s">
        <v>142</v>
      </c>
      <c r="L63" s="119" t="s">
        <v>141</v>
      </c>
      <c r="M63" s="119" t="s">
        <v>138</v>
      </c>
      <c r="N63" s="119" t="s">
        <v>139</v>
      </c>
      <c r="O63" s="144" t="s">
        <v>140</v>
      </c>
      <c r="P63" s="144" t="s">
        <v>143</v>
      </c>
      <c r="Q63" s="119" t="s">
        <v>183</v>
      </c>
    </row>
    <row r="64" spans="1:18" ht="15.75" x14ac:dyDescent="0.25">
      <c r="A64" t="s">
        <v>268</v>
      </c>
      <c r="B64" t="s">
        <v>146</v>
      </c>
      <c r="C64" s="392" t="str">
        <f>T12</f>
        <v>Søye laktasjon 1 lam</v>
      </c>
      <c r="D64" s="393" t="e">
        <f>(Planlegging!$D$101*Mineraldekning!D55)+(Planlegging!$D$102*Mineraldekning!D56)+(Planlegging!$D$114*Mineraldekning!D60)</f>
        <v>#DIV/0!</v>
      </c>
      <c r="E64" s="393" t="e">
        <f>(Planlegging!$D$101*Mineraldekning!E55)+(Planlegging!$D$102*Mineraldekning!E56)+(Planlegging!$D$114*Mineraldekning!H60)</f>
        <v>#DIV/0!</v>
      </c>
      <c r="F64" s="393" t="e">
        <f>(Planlegging!$D$101*Mineraldekning!F55)+(Planlegging!$D$102*Mineraldekning!F56)+(Planlegging!$D$114*Mineraldekning!E60)</f>
        <v>#DIV/0!</v>
      </c>
      <c r="G64" s="393" t="e">
        <f>(Planlegging!$D$101*Mineraldekning!G55)+(Planlegging!$D$102*Mineraldekning!G56)+(Planlegging!$D$114*Mineraldekning!F60)</f>
        <v>#DIV/0!</v>
      </c>
      <c r="H64" s="393" t="e">
        <f>(Planlegging!$D$101*Mineraldekning!H55)+(Planlegging!$D$102*Mineraldekning!H56)+(Planlegging!$D$114*Mineraldekning!G60)</f>
        <v>#DIV/0!</v>
      </c>
      <c r="I64" s="393" t="e">
        <f>(Planlegging!$D$101*Mineraldekning!I55)+(Planlegging!$D$102*Mineraldekning!I56)+(Planlegging!$D$114*Mineraldekning!J60)</f>
        <v>#DIV/0!</v>
      </c>
      <c r="J64" s="393" t="e">
        <f>(Planlegging!$D$101*Mineraldekning!J55)+(Planlegging!$D$102*Mineraldekning!J56)+(Planlegging!$D$114*Mineraldekning!Q60)</f>
        <v>#DIV/0!</v>
      </c>
      <c r="K64" s="393" t="e">
        <f>(Planlegging!$D$101*Mineraldekning!K55)+(Planlegging!$D$102*Mineraldekning!K56)+(Planlegging!$D$114*Mineraldekning!O60)</f>
        <v>#DIV/0!</v>
      </c>
      <c r="L64" s="393" t="e">
        <f>(Planlegging!$D$101*Mineraldekning!L55)+(Planlegging!$D$102*Mineraldekning!L56)+(Planlegging!$D$114*Mineraldekning!N60)</f>
        <v>#DIV/0!</v>
      </c>
      <c r="M64" s="393" t="e">
        <f>(Planlegging!$D$101*Mineraldekning!M55)+(Planlegging!$D$102*Mineraldekning!M56)+(Planlegging!$D$114*Mineraldekning!K60)</f>
        <v>#DIV/0!</v>
      </c>
      <c r="N64" s="393" t="e">
        <f>(Planlegging!$D$101*Mineraldekning!N55)+(Planlegging!$D$102*Mineraldekning!N56)+(Planlegging!$D$114*Mineraldekning!L60)</f>
        <v>#DIV/0!</v>
      </c>
      <c r="O64" s="393" t="e">
        <f>(Planlegging!$D$101*Mineraldekning!O55)+(Planlegging!$D$102*Mineraldekning!O56)+(Planlegging!$D$114*Mineraldekning!M60)</f>
        <v>#DIV/0!</v>
      </c>
      <c r="P64" s="393" t="e">
        <f>(Planlegging!$D$101*Mineraldekning!P55)+(Planlegging!$D$102*Mineraldekning!P56)+(Planlegging!$D$114*Mineraldekning!P60)</f>
        <v>#DIV/0!</v>
      </c>
      <c r="Q64" s="393" t="e">
        <f>(Planlegging!$D$101*Mineraldekning!Q55)+(Planlegging!$D$102*Mineraldekning!Q56)+(Planlegging!$D$114*Mineraldekning!R60)</f>
        <v>#DIV/0!</v>
      </c>
    </row>
    <row r="65" spans="1:17" ht="15.75" x14ac:dyDescent="0.25">
      <c r="A65" s="340"/>
      <c r="B65" s="340">
        <v>1</v>
      </c>
      <c r="C65" s="383"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65" s="384">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65" s="384">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65" s="384">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65" s="384">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65" s="384">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65" s="384">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65" s="384">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65" s="384">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65" s="384">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65" s="384">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65" s="384">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65" s="384">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65" s="384">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65" s="384">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66" spans="1:17" ht="15.75" x14ac:dyDescent="0.25">
      <c r="A66" s="340"/>
      <c r="B66" s="340">
        <v>9</v>
      </c>
      <c r="C66" s="383"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66" s="384">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66" s="384">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66" s="384">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66" s="384">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66" s="384">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66" s="384">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66" s="384">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66" s="384">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66" s="384">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66" s="384">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66" s="384">
        <f>((IF($B$66=1,'Aktuelle fôrslag'!$O$53,IF($B$66=2,'Aktuelle fôrslag'!$O$54,IF($B$66=3,'Aktuelle fôrslag'!$O$55,IF($B$66=4,'Aktuelle fôrslag'!$O$56,IF($B$66=5,'Aktuelle fôrslag'!$O$57,IF($B$66=6,'Aktuelle fôrslag'!$O$58,IF($B$66=7,'Aktuelle fôrslag'!$O$59,IF($B$66=8,'Aktuelle fôrslag'!$O$60,IF($B$66=9,'Aktuelle fôrslag'!$O$61,IF($B$66=10,'Aktuelle fôrslag'!$O$62,IF($B66=11,'Aktuelle fôrslag'!$O$63,IF($B$66=12,'Aktuelle fôrslag'!$O$64,IF($B$66=13,'Aktuelle fôrslag'!$O$65,IF($B$66=14,'Aktuelle fôrslag'!$O$66,IF($B$66=15,'Aktuelle fôrslag'!$O$67,IF($B$66=16,'Aktuelle fôrslag'!$O$68,IF($B$66=17,'Aktuelle fôrslag'!$O$69,IF($B$66=18,'Aktuelle fôrslag'!$O$70,IF($B$66=19,'Aktuelle fôrslag'!$O$71,'Aktuelle fôrslag'!$O$72))))))))))))))))))))/1000)*$A$66</f>
        <v>0</v>
      </c>
      <c r="O66" s="384">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66" s="384">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66" s="384">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67" spans="1:17" ht="15.75" x14ac:dyDescent="0.25">
      <c r="C67" s="385" t="s">
        <v>283</v>
      </c>
      <c r="D67" s="386" t="e">
        <f>(D64+D65+D66)/U12</f>
        <v>#DIV/0!</v>
      </c>
      <c r="E67" s="386" t="e">
        <f t="shared" ref="E67:Q67" si="6">(E64+E65+E66)/V12</f>
        <v>#DIV/0!</v>
      </c>
      <c r="F67" s="386" t="e">
        <f t="shared" si="6"/>
        <v>#DIV/0!</v>
      </c>
      <c r="G67" s="386" t="e">
        <f t="shared" si="6"/>
        <v>#DIV/0!</v>
      </c>
      <c r="H67" s="386" t="e">
        <f t="shared" si="6"/>
        <v>#DIV/0!</v>
      </c>
      <c r="I67" s="386" t="e">
        <f t="shared" si="6"/>
        <v>#DIV/0!</v>
      </c>
      <c r="J67" s="386" t="e">
        <f t="shared" si="6"/>
        <v>#DIV/0!</v>
      </c>
      <c r="K67" s="386" t="e">
        <f t="shared" si="6"/>
        <v>#DIV/0!</v>
      </c>
      <c r="L67" s="386" t="e">
        <f t="shared" si="6"/>
        <v>#DIV/0!</v>
      </c>
      <c r="M67" s="386" t="e">
        <f t="shared" si="6"/>
        <v>#DIV/0!</v>
      </c>
      <c r="N67" s="386" t="e">
        <f t="shared" si="6"/>
        <v>#DIV/0!</v>
      </c>
      <c r="O67" s="386" t="e">
        <f t="shared" si="6"/>
        <v>#DIV/0!</v>
      </c>
      <c r="P67" s="386" t="e">
        <f t="shared" si="6"/>
        <v>#DIV/0!</v>
      </c>
      <c r="Q67" s="386" t="e">
        <f t="shared" si="6"/>
        <v>#DIV/0!</v>
      </c>
    </row>
    <row r="68" spans="1:17" ht="15.75" x14ac:dyDescent="0.25">
      <c r="C68" s="392" t="str">
        <f>T13</f>
        <v>Søye laktasjon 2 lam</v>
      </c>
      <c r="D68" s="393" t="e">
        <f>(Planlegging!$D$101*Mineraldekning!D55)+(Planlegging!$D$102*Mineraldekning!D56)+(Planlegging!$D$115*Mineraldekning!D60)</f>
        <v>#DIV/0!</v>
      </c>
      <c r="E68" s="393" t="e">
        <f>(Planlegging!$D$101*Mineraldekning!E55)+(Planlegging!$D$102*Mineraldekning!E56)+(Planlegging!$D$115*Mineraldekning!H60)</f>
        <v>#DIV/0!</v>
      </c>
      <c r="F68" s="393" t="e">
        <f>(Planlegging!$D$101*Mineraldekning!F55)+(Planlegging!$D$102*Mineraldekning!F56)+(Planlegging!$D$115*Mineraldekning!E60)</f>
        <v>#DIV/0!</v>
      </c>
      <c r="G68" s="393" t="e">
        <f>(Planlegging!$D$101*Mineraldekning!G55)+(Planlegging!$D$102*Mineraldekning!G56)+(Planlegging!$D$115*Mineraldekning!F60)</f>
        <v>#DIV/0!</v>
      </c>
      <c r="H68" s="393" t="e">
        <f>(Planlegging!$D$101*Mineraldekning!H55)+(Planlegging!$D$102*Mineraldekning!H56)+(Planlegging!$D$115*Mineraldekning!G60)</f>
        <v>#DIV/0!</v>
      </c>
      <c r="I68" s="393" t="e">
        <f>(Planlegging!$D$101*Mineraldekning!I55)+(Planlegging!$D$102*Mineraldekning!I56)+(Planlegging!$D$115*Mineraldekning!J60)</f>
        <v>#DIV/0!</v>
      </c>
      <c r="J68" s="393" t="e">
        <f>(Planlegging!$D$101*Mineraldekning!J55)+(Planlegging!$D$102*Mineraldekning!J56)+(Planlegging!$D$115*Mineraldekning!Q60)</f>
        <v>#DIV/0!</v>
      </c>
      <c r="K68" s="393" t="e">
        <f>(Planlegging!$D$101*Mineraldekning!K55)+(Planlegging!$D$102*Mineraldekning!K56)+(Planlegging!$D$115*Mineraldekning!O60)</f>
        <v>#DIV/0!</v>
      </c>
      <c r="L68" s="393" t="e">
        <f>(Planlegging!$D$101*Mineraldekning!L55)+(Planlegging!$D$102*Mineraldekning!L56)+(Planlegging!$D$115*Mineraldekning!N60)</f>
        <v>#DIV/0!</v>
      </c>
      <c r="M68" s="393" t="e">
        <f>(Planlegging!$D$101*Mineraldekning!M55)+(Planlegging!$D$102*Mineraldekning!M56)+(Planlegging!$D$115*Mineraldekning!K60)</f>
        <v>#DIV/0!</v>
      </c>
      <c r="N68" s="393" t="e">
        <f>(Planlegging!$D$101*Mineraldekning!N55)+(Planlegging!$D$102*Mineraldekning!N56)+(Planlegging!$D$115*Mineraldekning!L60)</f>
        <v>#DIV/0!</v>
      </c>
      <c r="O68" s="393" t="e">
        <f>(Planlegging!$D$101*Mineraldekning!O55)+(Planlegging!$D$102*Mineraldekning!O56)+(Planlegging!$D$115*Mineraldekning!M60)</f>
        <v>#DIV/0!</v>
      </c>
      <c r="P68" s="393" t="e">
        <f>(Planlegging!$D$101*Mineraldekning!P55)+(Planlegging!$D$102*Mineraldekning!P56)+(Planlegging!$D$115*Mineraldekning!P60)</f>
        <v>#DIV/0!</v>
      </c>
      <c r="Q68" s="393" t="e">
        <f>(Planlegging!$D$101*Mineraldekning!Q55)+(Planlegging!$D$102*Mineraldekning!Q56)+(Planlegging!$E$115*Mineraldekning!R60)</f>
        <v>#DIV/0!</v>
      </c>
    </row>
    <row r="69" spans="1:17" ht="15.75" x14ac:dyDescent="0.25">
      <c r="C69" s="383"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69" s="384">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69" s="384">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69" s="384">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69" s="384">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69" s="384">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69" s="384">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69" s="384">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69" s="384">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69" s="384">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69" s="384">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69" s="384">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69" s="384">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69" s="384">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69" s="384">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70" spans="1:17" ht="15.75" x14ac:dyDescent="0.25">
      <c r="C70" s="383"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70" s="384">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70" s="384">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70" s="384">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70" s="384">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70" s="384">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70" s="384">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70" s="384">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70" s="384">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70" s="384">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70" s="384">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70" s="384">
        <f>((IF($B$66=1,'Aktuelle fôrslag'!$O$53,IF($B$66=2,'Aktuelle fôrslag'!$O$54,IF($B$66=3,'Aktuelle fôrslag'!$O$55,IF($B$66=4,'Aktuelle fôrslag'!$O$56,IF($B$66=5,'Aktuelle fôrslag'!$O$57,IF($B$66=6,'Aktuelle fôrslag'!$O$58,IF($B$66=7,'Aktuelle fôrslag'!$O$59,IF($B$66=8,'Aktuelle fôrslag'!$O$60,IF($B$66=9,'Aktuelle fôrslag'!$O$61,IF($B$66=10,'Aktuelle fôrslag'!$O$62,IF($B70=11,'Aktuelle fôrslag'!$O$63,IF($B$66=12,'Aktuelle fôrslag'!$O$64,IF($B$66=13,'Aktuelle fôrslag'!$O$65,IF($B$66=14,'Aktuelle fôrslag'!$O$66,IF($B$66=15,'Aktuelle fôrslag'!$O$67,IF($B$66=16,'Aktuelle fôrslag'!$O$68,IF($B$66=17,'Aktuelle fôrslag'!$O$69,IF($B$66=18,'Aktuelle fôrslag'!$O$70,IF($B$66=19,'Aktuelle fôrslag'!$O$71,'Aktuelle fôrslag'!$O$72))))))))))))))))))))/1000)*$A$66</f>
        <v>0</v>
      </c>
      <c r="O70" s="384">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70" s="384">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70" s="384">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71" spans="1:17" ht="15.75" x14ac:dyDescent="0.25">
      <c r="C71" s="385" t="s">
        <v>283</v>
      </c>
      <c r="D71" s="386" t="e">
        <f>(D68+D69+D70)/U13</f>
        <v>#DIV/0!</v>
      </c>
      <c r="E71" s="386" t="e">
        <f t="shared" ref="E71:Q71" si="7">(E68+E69+E70)/V13</f>
        <v>#DIV/0!</v>
      </c>
      <c r="F71" s="386" t="e">
        <f t="shared" si="7"/>
        <v>#DIV/0!</v>
      </c>
      <c r="G71" s="386" t="e">
        <f t="shared" si="7"/>
        <v>#DIV/0!</v>
      </c>
      <c r="H71" s="386" t="e">
        <f t="shared" si="7"/>
        <v>#DIV/0!</v>
      </c>
      <c r="I71" s="386" t="e">
        <f t="shared" si="7"/>
        <v>#DIV/0!</v>
      </c>
      <c r="J71" s="386" t="e">
        <f t="shared" si="7"/>
        <v>#DIV/0!</v>
      </c>
      <c r="K71" s="386" t="e">
        <f t="shared" si="7"/>
        <v>#DIV/0!</v>
      </c>
      <c r="L71" s="386" t="e">
        <f t="shared" si="7"/>
        <v>#DIV/0!</v>
      </c>
      <c r="M71" s="386" t="e">
        <f t="shared" si="7"/>
        <v>#DIV/0!</v>
      </c>
      <c r="N71" s="386" t="e">
        <f t="shared" si="7"/>
        <v>#DIV/0!</v>
      </c>
      <c r="O71" s="386" t="e">
        <f t="shared" si="7"/>
        <v>#DIV/0!</v>
      </c>
      <c r="P71" s="386" t="e">
        <f t="shared" si="7"/>
        <v>#DIV/0!</v>
      </c>
      <c r="Q71" s="386" t="e">
        <f t="shared" si="7"/>
        <v>#DIV/0!</v>
      </c>
    </row>
    <row r="72" spans="1:17" ht="15.75" x14ac:dyDescent="0.25">
      <c r="C72" s="392" t="str">
        <f>T14</f>
        <v>Søye laktasjon 3 og  fleire</v>
      </c>
      <c r="D72" s="393" t="e">
        <f>(Planlegging!$D$101*Mineraldekning!D55)+(Planlegging!$D$102*Mineraldekning!D56)+(Planlegging!$D$116*Mineraldekning!D60)</f>
        <v>#DIV/0!</v>
      </c>
      <c r="E72" s="393" t="e">
        <f>(Planlegging!$D$101*Mineraldekning!E55)+(Planlegging!$D$102*Mineraldekning!E56)+(Planlegging!$D$116*Mineraldekning!H60)</f>
        <v>#DIV/0!</v>
      </c>
      <c r="F72" s="393" t="e">
        <f>(Planlegging!$D$101*Mineraldekning!F55)+(Planlegging!$D$102*Mineraldekning!F56)+(Planlegging!$D$116*Mineraldekning!E60)</f>
        <v>#DIV/0!</v>
      </c>
      <c r="G72" s="393" t="e">
        <f>(Planlegging!$D$101*Mineraldekning!G55)+(Planlegging!$D$102*Mineraldekning!G56)+(Planlegging!$D$116*Mineraldekning!F60)</f>
        <v>#DIV/0!</v>
      </c>
      <c r="H72" s="393" t="e">
        <f>(Planlegging!$D$101*Mineraldekning!H55)+(Planlegging!$D$102*Mineraldekning!H56)+(Planlegging!$D$116*Mineraldekning!G60)</f>
        <v>#DIV/0!</v>
      </c>
      <c r="I72" s="393" t="e">
        <f>(Planlegging!$D$101*Mineraldekning!I55)+(Planlegging!$D$102*Mineraldekning!I56)+(Planlegging!$D$116*Mineraldekning!J60)</f>
        <v>#DIV/0!</v>
      </c>
      <c r="J72" s="393" t="e">
        <f>(Planlegging!$D$101*Mineraldekning!J55)+(Planlegging!$D$102*Mineraldekning!J56)+(Planlegging!$D$116*Mineraldekning!Q60)</f>
        <v>#DIV/0!</v>
      </c>
      <c r="K72" s="393" t="e">
        <f>(Planlegging!$D$101*Mineraldekning!K55)+(Planlegging!$D$102*Mineraldekning!K56)+(Planlegging!$D$116*Mineraldekning!O60)</f>
        <v>#DIV/0!</v>
      </c>
      <c r="L72" s="393" t="e">
        <f>(Planlegging!$D$101*Mineraldekning!L55)+(Planlegging!$D$102*Mineraldekning!L56)+(Planlegging!$D$116*Mineraldekning!N60)</f>
        <v>#DIV/0!</v>
      </c>
      <c r="M72" s="393" t="e">
        <f>(Planlegging!$D$101*Mineraldekning!M55)+(Planlegging!$D$102*Mineraldekning!M56)+(Planlegging!$D$116*Mineraldekning!K60)</f>
        <v>#DIV/0!</v>
      </c>
      <c r="N72" s="393" t="e">
        <f>(Planlegging!$D$101*Mineraldekning!N55)+(Planlegging!$D$102*Mineraldekning!N56)+(Planlegging!$D$116*Mineraldekning!L60)</f>
        <v>#DIV/0!</v>
      </c>
      <c r="O72" s="393" t="e">
        <f>(Planlegging!$D$101*Mineraldekning!O55)+(Planlegging!$D$102*Mineraldekning!O56)+(Planlegging!$D$116*Mineraldekning!M60)</f>
        <v>#DIV/0!</v>
      </c>
      <c r="P72" s="393" t="e">
        <f>(Planlegging!$D$101*Mineraldekning!P55)+(Planlegging!$D$102*Mineraldekning!P56)+(Planlegging!$D$116*Mineraldekning!P60)</f>
        <v>#DIV/0!</v>
      </c>
      <c r="Q72" s="393" t="e">
        <f>(Planlegging!$D$101*Mineraldekning!Q55)+(Planlegging!$D$102*Mineraldekning!Q56)+(Planlegging!$D$116*Mineraldekning!R60)</f>
        <v>#DIV/0!</v>
      </c>
    </row>
    <row r="73" spans="1:17" ht="15.75" x14ac:dyDescent="0.25">
      <c r="C73" s="383"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73" s="384">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73" s="384">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73" s="384">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73" s="384">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73" s="384">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73" s="384">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73" s="384">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73" s="384">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73" s="384">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73" s="384">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73" s="384">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73" s="384">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73" s="384">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73" s="384">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74" spans="1:17" ht="15.75" x14ac:dyDescent="0.25">
      <c r="C74" s="383"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74" s="384">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74" s="384">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74" s="384">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74" s="384">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74" s="384">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74" s="384">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74" s="384">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74" s="384">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74" s="384">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74" s="384">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74" s="384">
        <f>((IF($B$66=1,'Aktuelle fôrslag'!$O$53,IF($B$66=2,'Aktuelle fôrslag'!$O$54,IF($B$66=3,'Aktuelle fôrslag'!$O$55,IF($B$66=4,'Aktuelle fôrslag'!$O$56,IF($B$66=5,'Aktuelle fôrslag'!$O$57,IF($B$66=6,'Aktuelle fôrslag'!$O$58,IF($B$66=7,'Aktuelle fôrslag'!$O$59,IF($B$66=8,'Aktuelle fôrslag'!$O$60,IF($B$66=9,'Aktuelle fôrslag'!$O$61,IF($B$66=10,'Aktuelle fôrslag'!$O$62,IF($B74=11,'Aktuelle fôrslag'!$O$63,IF($B$66=12,'Aktuelle fôrslag'!$O$64,IF($B$66=13,'Aktuelle fôrslag'!$O$65,IF($B$66=14,'Aktuelle fôrslag'!$O$66,IF($B$66=15,'Aktuelle fôrslag'!$O$67,IF($B$66=16,'Aktuelle fôrslag'!$O$68,IF($B$66=17,'Aktuelle fôrslag'!$O$69,IF($B$66=18,'Aktuelle fôrslag'!$O$70,IF($B$66=19,'Aktuelle fôrslag'!$O$71,'Aktuelle fôrslag'!$O$72))))))))))))))))))))/1000)*$A$66</f>
        <v>0</v>
      </c>
      <c r="O74" s="384">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74" s="384">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74" s="384">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75" spans="1:17" ht="15.75" x14ac:dyDescent="0.25">
      <c r="C75" s="385" t="s">
        <v>283</v>
      </c>
      <c r="D75" s="386" t="e">
        <f t="shared" ref="D75:Q75" si="8">(D72+D73+D74)/U14</f>
        <v>#DIV/0!</v>
      </c>
      <c r="E75" s="386" t="e">
        <f t="shared" si="8"/>
        <v>#DIV/0!</v>
      </c>
      <c r="F75" s="386" t="e">
        <f t="shared" si="8"/>
        <v>#DIV/0!</v>
      </c>
      <c r="G75" s="386" t="e">
        <f t="shared" si="8"/>
        <v>#DIV/0!</v>
      </c>
      <c r="H75" s="386" t="e">
        <f t="shared" si="8"/>
        <v>#DIV/0!</v>
      </c>
      <c r="I75" s="386" t="e">
        <f t="shared" si="8"/>
        <v>#DIV/0!</v>
      </c>
      <c r="J75" s="386" t="e">
        <f t="shared" si="8"/>
        <v>#DIV/0!</v>
      </c>
      <c r="K75" s="386" t="e">
        <f t="shared" si="8"/>
        <v>#DIV/0!</v>
      </c>
      <c r="L75" s="386" t="e">
        <f t="shared" si="8"/>
        <v>#DIV/0!</v>
      </c>
      <c r="M75" s="386" t="e">
        <f t="shared" si="8"/>
        <v>#DIV/0!</v>
      </c>
      <c r="N75" s="386" t="e">
        <f t="shared" si="8"/>
        <v>#DIV/0!</v>
      </c>
      <c r="O75" s="386" t="e">
        <f t="shared" si="8"/>
        <v>#DIV/0!</v>
      </c>
      <c r="P75" s="386" t="e">
        <f t="shared" si="8"/>
        <v>#DIV/0!</v>
      </c>
      <c r="Q75" s="386" t="e">
        <f t="shared" si="8"/>
        <v>#DIV/0!</v>
      </c>
    </row>
  </sheetData>
  <mergeCells count="3">
    <mergeCell ref="D8:J8"/>
    <mergeCell ref="D33:J33"/>
    <mergeCell ref="D58:J58"/>
  </mergeCell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1"/>
  <sheetViews>
    <sheetView workbookViewId="0">
      <selection activeCell="B10" sqref="B10"/>
    </sheetView>
  </sheetViews>
  <sheetFormatPr baseColWidth="10" defaultColWidth="11.42578125" defaultRowHeight="15" x14ac:dyDescent="0.25"/>
  <cols>
    <col min="1" max="1" width="34.85546875" customWidth="1"/>
    <col min="2" max="2" width="17" customWidth="1"/>
    <col min="3" max="3" width="12.85546875" customWidth="1"/>
  </cols>
  <sheetData>
    <row r="1" spans="1:6" ht="18" x14ac:dyDescent="0.25">
      <c r="A1" s="232" t="str">
        <f>Planopplysninger!B8</f>
        <v>Innsett dato</v>
      </c>
      <c r="B1" s="233">
        <f>Planopplysninger!C8</f>
        <v>45209</v>
      </c>
      <c r="C1" s="232" t="s">
        <v>8</v>
      </c>
    </row>
    <row r="2" spans="1:6" ht="18" x14ac:dyDescent="0.25">
      <c r="A2" s="232" t="str">
        <f>Planopplysninger!B9</f>
        <v>Paringsdato</v>
      </c>
      <c r="B2" s="233">
        <f>Planopplysninger!C9</f>
        <v>45252</v>
      </c>
      <c r="C2" s="234">
        <f>B2-B1</f>
        <v>43</v>
      </c>
    </row>
    <row r="3" spans="1:6" ht="18" x14ac:dyDescent="0.25">
      <c r="A3" s="232" t="str">
        <f>Planopplysninger!B10</f>
        <v>Høgdrektigheitsperiode</v>
      </c>
      <c r="B3" s="233">
        <f>Planopplysninger!C10</f>
        <v>45345</v>
      </c>
      <c r="C3" s="234">
        <f>B3-B2</f>
        <v>93</v>
      </c>
    </row>
    <row r="4" spans="1:6" ht="18" x14ac:dyDescent="0.25">
      <c r="A4" s="232" t="str">
        <f>Planopplysninger!B11</f>
        <v>Lamming</v>
      </c>
      <c r="B4" s="233">
        <f>Planopplysninger!C11</f>
        <v>45401</v>
      </c>
      <c r="C4" s="234">
        <f>B4-B3</f>
        <v>56</v>
      </c>
    </row>
    <row r="5" spans="1:6" ht="18" x14ac:dyDescent="0.25">
      <c r="A5" s="232" t="str">
        <f>Planopplysninger!B12</f>
        <v>beiteslepp</v>
      </c>
      <c r="B5" s="233">
        <f>Planopplysninger!C12</f>
        <v>45422</v>
      </c>
      <c r="C5" s="234">
        <f>B5-B4</f>
        <v>21</v>
      </c>
    </row>
    <row r="7" spans="1:6" ht="18.75" x14ac:dyDescent="0.3">
      <c r="A7" s="235"/>
      <c r="B7" s="235"/>
      <c r="C7" s="235"/>
      <c r="D7" s="235" t="s">
        <v>286</v>
      </c>
      <c r="E7" s="235" t="s">
        <v>287</v>
      </c>
      <c r="F7" s="235" t="s">
        <v>288</v>
      </c>
    </row>
    <row r="8" spans="1:6" ht="18.75" x14ac:dyDescent="0.3">
      <c r="A8" s="235" t="s">
        <v>289</v>
      </c>
      <c r="B8" s="235" t="s">
        <v>290</v>
      </c>
      <c r="C8" s="235" t="s">
        <v>291</v>
      </c>
      <c r="D8" s="235" t="s">
        <v>292</v>
      </c>
      <c r="E8" s="235" t="s">
        <v>293</v>
      </c>
      <c r="F8" s="235" t="s">
        <v>294</v>
      </c>
    </row>
    <row r="9" spans="1:6" ht="18.75" x14ac:dyDescent="0.3">
      <c r="A9" s="324">
        <v>2.5</v>
      </c>
      <c r="B9" s="324">
        <v>3.5</v>
      </c>
      <c r="C9" s="236">
        <f>B9-A9</f>
        <v>1</v>
      </c>
      <c r="D9" s="236">
        <f>Planopplysninger!D23</f>
        <v>85</v>
      </c>
      <c r="E9" s="237">
        <f>(D9*0.13)*C9</f>
        <v>11.05</v>
      </c>
      <c r="F9" s="237">
        <f>E9*5</f>
        <v>55.25</v>
      </c>
    </row>
    <row r="10" spans="1:6" ht="18.75" x14ac:dyDescent="0.3">
      <c r="E10" s="238" t="s">
        <v>295</v>
      </c>
      <c r="F10" s="235" t="s">
        <v>52</v>
      </c>
    </row>
    <row r="11" spans="1:6" ht="18.75" x14ac:dyDescent="0.3">
      <c r="A11" s="239" t="s">
        <v>296</v>
      </c>
      <c r="B11" s="235" t="s">
        <v>297</v>
      </c>
      <c r="C11" s="235"/>
      <c r="E11" s="237">
        <f>C2+C3</f>
        <v>136</v>
      </c>
      <c r="F11" s="240">
        <f>F9/E11</f>
        <v>0.40625</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Excel dokument" ma:contentTypeID="0x010100CF3BA727EE5CC748AEB99BC2E12FA41905007286CFFEAB7EE848863F5AEEDBAAE5B4" ma:contentTypeVersion="123" ma:contentTypeDescription="" ma:contentTypeScope="" ma:versionID="5eb68a3c72f8a5a28a6f7f142bab1ace">
  <xsd:schema xmlns:xsd="http://www.w3.org/2001/XMLSchema" xmlns:xs="http://www.w3.org/2001/XMLSchema" xmlns:p="http://schemas.microsoft.com/office/2006/metadata/properties" xmlns:ns1="http://schemas.microsoft.com/sharepoint/v3" xmlns:ns2="8be042c4-7081-448e-8fe1-53e62ff8a73e" targetNamespace="http://schemas.microsoft.com/office/2006/metadata/properties" ma:root="true" ma:fieldsID="25dc645240091ad969bd4f7ee80fe6bf" ns1:_="" ns2:_="">
    <xsd:import namespace="http://schemas.microsoft.com/sharepoint/v3"/>
    <xsd:import namespace="8be042c4-7081-448e-8fe1-53e62ff8a73e"/>
    <xsd:element name="properties">
      <xsd:complexType>
        <xsd:sequence>
          <xsd:element name="documentManagement">
            <xsd:complexType>
              <xsd:all>
                <xsd:element ref="ns1:V3Comments" minOccurs="0"/>
                <xsd:element ref="ns2:_dlc_DocId" minOccurs="0"/>
                <xsd:element ref="ns2:_dlc_DocIdUrl" minOccurs="0"/>
                <xsd:element ref="ns2:_dlc_DocIdPersistId" minOccurs="0"/>
                <xsd:element ref="ns2:TaxCatchAllLabel" minOccurs="0"/>
                <xsd:element ref="ns2:TaxCatchAll" minOccurs="0"/>
                <xsd:element ref="ns2:TaxKeywordTaxHTField" minOccurs="0"/>
                <xsd:element ref="ns2:Bibliotek" minOccurs="0"/>
                <xsd:element ref="ns2:Nivå_x0020_1" minOccurs="0"/>
                <xsd:element ref="ns2:Nivå_x0020_2" minOccurs="0"/>
                <xsd:element ref="ns2:Nivå_x0020_3" minOccurs="0"/>
                <xsd:element ref="ns2:Nivå_x0020_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2" nillable="true" ma:displayName="Kommentar for tilføying" ma:internalName="V3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be042c4-7081-448e-8fe1-53e62ff8a73e" elementFormDefault="qualified">
    <xsd:import namespace="http://schemas.microsoft.com/office/2006/documentManagement/types"/>
    <xsd:import namespace="http://schemas.microsoft.com/office/infopath/2007/PartnerControls"/>
    <xsd:element name="_dlc_DocId" ma:index="4" nillable="true" ma:displayName="Dokument-ID-verdi" ma:description="Verdien for dokument-IDen som er tilordnet elementet." ma:internalName="_dlc_DocId" ma:readOnly="true">
      <xsd:simpleType>
        <xsd:restriction base="dms:Text"/>
      </xsd:simpleType>
    </xsd:element>
    <xsd:element name="_dlc_DocIdUrl" ma:index="5" nillable="true" ma:displayName="Dokument-ID" ma:description="Fast kobling til dokumente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TaxCatchAllLabel" ma:index="9" nillable="true" ma:displayName="Taxonomy Catch All Column1" ma:description="" ma:hidden="true" ma:list="{e862ebe6-bdae-413b-bb56-83eaebce4554}" ma:internalName="TaxCatchAllLabel" ma:readOnly="true" ma:showField="CatchAllDataLabel" ma:web="c1afd1ce-71d1-4c88-a0d0-f46422b3963b">
      <xsd:complexType>
        <xsd:complexContent>
          <xsd:extension base="dms:MultiChoiceLookup">
            <xsd:sequence>
              <xsd:element name="Value" type="dms:Lookup" maxOccurs="unbounded" minOccurs="0" nillable="true"/>
            </xsd:sequence>
          </xsd:extension>
        </xsd:complexContent>
      </xsd:complexType>
    </xsd:element>
    <xsd:element name="TaxCatchAll" ma:index="10" nillable="true" ma:displayName="Taxonomy Catch All Column" ma:description="" ma:hidden="true" ma:list="{e862ebe6-bdae-413b-bb56-83eaebce4554}" ma:internalName="TaxCatchAll" ma:showField="CatchAllData" ma:web="c1afd1ce-71d1-4c88-a0d0-f46422b3963b">
      <xsd:complexType>
        <xsd:complexContent>
          <xsd:extension base="dms:MultiChoiceLookup">
            <xsd:sequence>
              <xsd:element name="Value" type="dms:Lookup" maxOccurs="unbounded" minOccurs="0" nillable="true"/>
            </xsd:sequence>
          </xsd:extension>
        </xsd:complexContent>
      </xsd:complexType>
    </xsd:element>
    <xsd:element name="TaxKeywordTaxHTField" ma:index="14" nillable="true" ma:taxonomy="true" ma:internalName="TaxKeywordTaxHTField" ma:taxonomyFieldName="TaxKeyword" ma:displayName="Nøkkelord" ma:fieldId="{23f27201-bee3-471e-b2e7-b64fd8b7ca38}" ma:taxonomyMulti="true" ma:sspId="72c6aa45-2d99-4ecc-8aa9-46096098a43c" ma:termSetId="00000000-0000-0000-0000-000000000000" ma:anchorId="00000000-0000-0000-0000-000000000000" ma:open="true" ma:isKeyword="true">
      <xsd:complexType>
        <xsd:sequence>
          <xsd:element ref="pc:Terms" minOccurs="0" maxOccurs="1"/>
        </xsd:sequence>
      </xsd:complexType>
    </xsd:element>
    <xsd:element name="Bibliotek" ma:index="16" nillable="true" ma:displayName="Bibliotek" ma:hidden="true" ma:internalName="Bibliotek" ma:readOnly="false">
      <xsd:simpleType>
        <xsd:restriction base="dms:Text">
          <xsd:maxLength value="255"/>
        </xsd:restriction>
      </xsd:simpleType>
    </xsd:element>
    <xsd:element name="Nivå_x0020_1" ma:index="17" nillable="true" ma:displayName="Nivå 1" ma:hidden="true" ma:internalName="Niv_x00e5__x0020_1" ma:readOnly="false">
      <xsd:simpleType>
        <xsd:restriction base="dms:Text">
          <xsd:maxLength value="255"/>
        </xsd:restriction>
      </xsd:simpleType>
    </xsd:element>
    <xsd:element name="Nivå_x0020_2" ma:index="18" nillable="true" ma:displayName="Nivå 2" ma:hidden="true" ma:internalName="Niv_x00e5__x0020_2" ma:readOnly="false">
      <xsd:simpleType>
        <xsd:restriction base="dms:Text">
          <xsd:maxLength value="255"/>
        </xsd:restriction>
      </xsd:simpleType>
    </xsd:element>
    <xsd:element name="Nivå_x0020_3" ma:index="19" nillable="true" ma:displayName="Nivå 3" ma:hidden="true" ma:internalName="Niv_x00e5__x0020_3" ma:readOnly="false">
      <xsd:simpleType>
        <xsd:restriction base="dms:Text">
          <xsd:maxLength value="255"/>
        </xsd:restriction>
      </xsd:simpleType>
    </xsd:element>
    <xsd:element name="Nivå_x0020_4" ma:index="20" nillable="true" ma:displayName="Nivå 4" ma:hidden="true" ma:internalName="Niv_x00e5__x0020_4"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Innholdstype"/>
        <xsd:element ref="dc:title" minOccurs="0" maxOccurs="1"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Nivå_x0020_2 xmlns="8be042c4-7081-448e-8fe1-53e62ff8a73e">Fôring</Nivå_x0020_2>
    <Bibliotek xmlns="8be042c4-7081-448e-8fe1-53e62ff8a73e">Fagbase</Bibliotek>
    <Nivå_x0020_1 xmlns="8be042c4-7081-448e-8fe1-53e62ff8a73e">Småfe</Nivå_x0020_1>
    <V3Comments xmlns="http://schemas.microsoft.com/sharepoint/v3" xsi:nil="true"/>
    <TaxKeywordTaxHTField xmlns="8be042c4-7081-448e-8fe1-53e62ff8a73e">
      <Terms xmlns="http://schemas.microsoft.com/office/infopath/2007/PartnerControls">
        <TermInfo xmlns="http://schemas.microsoft.com/office/infopath/2007/PartnerControls">
          <TermName xmlns="http://schemas.microsoft.com/office/infopath/2007/PartnerControls">Sau</TermName>
          <TermId xmlns="http://schemas.microsoft.com/office/infopath/2007/PartnerControls">00000000-0000-0000-0000-000000000000</TermId>
        </TermInfo>
        <TermInfo xmlns="http://schemas.microsoft.com/office/infopath/2007/PartnerControls">
          <TermName xmlns="http://schemas.microsoft.com/office/infopath/2007/PartnerControls">fôrplanlegging</TermName>
          <TermId xmlns="http://schemas.microsoft.com/office/infopath/2007/PartnerControls">00000000-0000-0000-0000-000000000000</TermId>
        </TermInfo>
      </Terms>
    </TaxKeywordTaxHTField>
    <Nivå_x0020_4 xmlns="8be042c4-7081-448e-8fe1-53e62ff8a73e" xsi:nil="true"/>
    <TaxCatchAll xmlns="8be042c4-7081-448e-8fe1-53e62ff8a73e">
      <Value>19</Value>
      <Value>17</Value>
    </TaxCatchAll>
    <Nivå_x0020_3 xmlns="8be042c4-7081-448e-8fe1-53e62ff8a73e" xsi:nil="true"/>
    <_dlc_DocId xmlns="8be042c4-7081-448e-8fe1-53e62ff8a73e">VWNCEYZFX26D-1-34695</_dlc_DocId>
    <_dlc_DocIdUrl xmlns="8be042c4-7081-448e-8fe1-53e62ff8a73e">
      <Url>https://portal.nortura.no/fagomrade/medlem/_layouts/15/DocIdRedir.aspx?ID=VWNCEYZFX26D-1-34695</Url>
      <Description>VWNCEYZFX26D-1-34695</Description>
    </_dlc_DocIdUrl>
    <_dlc_DocIdPersistId xmlns="8be042c4-7081-448e-8fe1-53e62ff8a73e">false</_dlc_DocIdPersistId>
  </documentManagement>
</p:properties>
</file>

<file path=customXml/item4.xml><?xml version="1.0" encoding="utf-8"?>
<?mso-contentType ?>
<customXsn xmlns="http://schemas.microsoft.com/office/2006/metadata/customXsn">
  <xsnLocation>http://portal.nortura.no/_cts/Nytt dokument/8065cf5f81b9d3acustomXsn.xsn</xsnLocation>
  <cached>True</cached>
  <openByDefault>True</openByDefault>
  <xsnScope>http://portal.nortura.no</xsnScope>
</customXsn>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71CD3F-A870-488B-A5DD-FBB8E686E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be042c4-7081-448e-8fe1-53e62ff8a7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FDA4C2-1DD8-4B96-92A3-5A61AB57C10C}">
  <ds:schemaRefs>
    <ds:schemaRef ds:uri="http://schemas.microsoft.com/sharepoint/events"/>
  </ds:schemaRefs>
</ds:datastoreItem>
</file>

<file path=customXml/itemProps3.xml><?xml version="1.0" encoding="utf-8"?>
<ds:datastoreItem xmlns:ds="http://schemas.openxmlformats.org/officeDocument/2006/customXml" ds:itemID="{A887D4AD-275E-4D57-93BB-2814C7426DBF}">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8be042c4-7081-448e-8fe1-53e62ff8a73e"/>
    <ds:schemaRef ds:uri="http://www.w3.org/XML/1998/namespace"/>
    <ds:schemaRef ds:uri="http://purl.org/dc/dcmitype/"/>
  </ds:schemaRefs>
</ds:datastoreItem>
</file>

<file path=customXml/itemProps4.xml><?xml version="1.0" encoding="utf-8"?>
<ds:datastoreItem xmlns:ds="http://schemas.openxmlformats.org/officeDocument/2006/customXml" ds:itemID="{F1EDE7E4-A550-47B1-BE20-BFF103994D93}">
  <ds:schemaRefs>
    <ds:schemaRef ds:uri="http://schemas.microsoft.com/office/2006/metadata/customXsn"/>
  </ds:schemaRefs>
</ds:datastoreItem>
</file>

<file path=customXml/itemProps5.xml><?xml version="1.0" encoding="utf-8"?>
<ds:datastoreItem xmlns:ds="http://schemas.openxmlformats.org/officeDocument/2006/customXml" ds:itemID="{D99B4426-5E0C-446A-9DC0-72D914E3AB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10</vt:i4>
      </vt:variant>
    </vt:vector>
  </HeadingPairs>
  <TitlesOfParts>
    <vt:vector size="10" baseType="lpstr">
      <vt:lpstr>Forside</vt:lpstr>
      <vt:lpstr>Brukarrettleiing</vt:lpstr>
      <vt:lpstr>Planopplysninger</vt:lpstr>
      <vt:lpstr>TINE analyse </vt:lpstr>
      <vt:lpstr>Aktuelle fôrslag</vt:lpstr>
      <vt:lpstr>Planlegging</vt:lpstr>
      <vt:lpstr>Rapport</vt:lpstr>
      <vt:lpstr>Mineraldekning</vt:lpstr>
      <vt:lpstr>Holdendringskalkulatoren</vt:lpstr>
      <vt:lpstr>Korleis velje rett grovfôrslag</vt:lpstr>
    </vt:vector>
  </TitlesOfParts>
  <Manager/>
  <Company>Nortura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Nortura sauefôring 2021.xlsx</dc:title>
  <dc:subject/>
  <dc:creator>Finn Avdem</dc:creator>
  <cp:keywords>fôrplanlegging; Sau</cp:keywords>
  <dc:description/>
  <cp:lastModifiedBy>Finn Avdem</cp:lastModifiedBy>
  <cp:revision/>
  <cp:lastPrinted>2023-07-12T07:46:35Z</cp:lastPrinted>
  <dcterms:created xsi:type="dcterms:W3CDTF">2014-03-27T11:56:34Z</dcterms:created>
  <dcterms:modified xsi:type="dcterms:W3CDTF">2023-09-12T18:35:46Z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0x010100CF3BA727EE5CC748AEB99BC2E12FA41905007286CFFEAB7EE848863F5AEEDBAAE5B4</vt:lpwstr>
  </property>
  <property fmtid="{D5CDD505-2E9C-101B-9397-08002B2CF9AE}" pid="3" name="_dlc_DocIdItemGuid">
    <vt:lpwstr>1ccb95d7-fce1-450b-a5be-ea79b16842c8</vt:lpwstr>
  </property>
  <property fmtid="{D5CDD505-2E9C-101B-9397-08002B2CF9AE}" pid="4" name="TaxKeyword">
    <vt:lpwstr>17;#Sau|03c8e730-22a3-4321-9b2a-7b7a3ad59d02;#19;#fôrplanlegging|212133e6-b94c-43be-9da5-4d6f589a7687</vt:lpwstr>
  </property>
  <property fmtid="{D5CDD505-2E9C-101B-9397-08002B2CF9AE}" pid="5" name="m78afdb9c41d48f1921befb5bce5d15a">
    <vt:lpwstr/>
  </property>
  <property fmtid="{D5CDD505-2E9C-101B-9397-08002B2CF9AE}" pid="6" name="Kontakt">
    <vt:lpwstr/>
  </property>
  <property fmtid="{D5CDD505-2E9C-101B-9397-08002B2CF9AE}" pid="7" name="Avsender">
    <vt:lpwstr/>
  </property>
  <property fmtid="{D5CDD505-2E9C-101B-9397-08002B2CF9AE}" pid="8" name="Journal-ID">
    <vt:lpwstr/>
  </property>
  <property fmtid="{D5CDD505-2E9C-101B-9397-08002B2CF9AE}" pid="9" name="ncc8ffb4efad4a539c7a038acdb782dd">
    <vt:lpwstr/>
  </property>
  <property fmtid="{D5CDD505-2E9C-101B-9397-08002B2CF9AE}" pid="10" name="Lokasjon1">
    <vt:lpwstr/>
  </property>
  <property fmtid="{D5CDD505-2E9C-101B-9397-08002B2CF9AE}" pid="11" name="xd_Signature">
    <vt:bool>false</vt:bool>
  </property>
  <property fmtid="{D5CDD505-2E9C-101B-9397-08002B2CF9AE}" pid="12" name="Journalstatus">
    <vt:lpwstr/>
  </property>
  <property fmtid="{D5CDD505-2E9C-101B-9397-08002B2CF9AE}" pid="13" name="Varekategori">
    <vt:lpwstr/>
  </property>
  <property fmtid="{D5CDD505-2E9C-101B-9397-08002B2CF9AE}" pid="14" name="Foretak12">
    <vt:lpwstr/>
  </property>
  <property fmtid="{D5CDD505-2E9C-101B-9397-08002B2CF9AE}" pid="15" name="xd_ProgID">
    <vt:lpwstr/>
  </property>
  <property fmtid="{D5CDD505-2E9C-101B-9397-08002B2CF9AE}" pid="16" name="k828317d669c40f1b5efbd639919fbc6">
    <vt:lpwstr/>
  </property>
  <property fmtid="{D5CDD505-2E9C-101B-9397-08002B2CF9AE}" pid="17" name="TemplateUrl">
    <vt:lpwstr/>
  </property>
  <property fmtid="{D5CDD505-2E9C-101B-9397-08002B2CF9AE}" pid="18" name="Mottaker">
    <vt:lpwstr/>
  </property>
  <property fmtid="{D5CDD505-2E9C-101B-9397-08002B2CF9AE}" pid="19" name="IconOverlay">
    <vt:lpwstr/>
  </property>
  <property fmtid="{D5CDD505-2E9C-101B-9397-08002B2CF9AE}" pid="20" name="md717fe79664452cbce9a9c755a29725">
    <vt:lpwstr/>
  </property>
  <property fmtid="{D5CDD505-2E9C-101B-9397-08002B2CF9AE}" pid="21" name="Møtenavn">
    <vt:lpwstr/>
  </property>
  <property fmtid="{D5CDD505-2E9C-101B-9397-08002B2CF9AE}" pid="22" name="Kopi til">
    <vt:lpwstr/>
  </property>
  <property fmtid="{D5CDD505-2E9C-101B-9397-08002B2CF9AE}" pid="23" name="Intern mottaker">
    <vt:lpwstr/>
  </property>
  <property fmtid="{D5CDD505-2E9C-101B-9397-08002B2CF9AE}" pid="24" name="n468953d2a3346b496c1d51092c780e2">
    <vt:lpwstr/>
  </property>
</Properties>
</file>